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Florianópolis" sheetId="4" state="visible" r:id="rId6"/>
    <sheet name="Desl. Base Florianópolis" sheetId="5" state="visible" r:id="rId7"/>
    <sheet name="Base Criciúma" sheetId="6" state="visible" r:id="rId8"/>
    <sheet name="Desl. Base Criciúma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Criciúma'!$B$2:$AW$27</definedName>
    <definedName function="false" hidden="false" localSheetId="3" name="_xlnm.Print_Area" vbProcedure="false">'Base Florianópolis'!$B$2:$AW$26</definedName>
    <definedName function="false" hidden="false" localSheetId="13" name="_xlnm.Print_Area" vbProcedure="false">BDI!$B$1:$J$44</definedName>
    <definedName function="false" hidden="false" localSheetId="6" name="_xlnm.Print_Area" vbProcedure="false">'Desl. Base Criciúma'!$B$2:$M$62</definedName>
    <definedName function="false" hidden="false" localSheetId="4" name="_xlnm.Print_Area" vbProcedure="false">'Desl. Base Florianópolis'!$B$2:$M$35</definedName>
    <definedName function="false" hidden="false" localSheetId="2" name="_xlnm.Print_Area" vbProcedure="false">'Equipe Técnica'!$B$2:$E$13</definedName>
    <definedName function="false" hidden="false" localSheetId="1" name="_xlnm.Print_Area" vbProcedure="false">Resumo!$B$2:$I$43</definedName>
    <definedName function="false" hidden="false" localSheetId="12" name="_xlnm.Print_Area" vbProcedure="false">Unidades!$B$2:$H$17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<sst xmlns="http://schemas.openxmlformats.org/spreadsheetml/2006/main" count="845" uniqueCount="335">
  <si>
    <t xml:space="preserve">ANEXO I – B5</t>
  </si>
  <si>
    <t xml:space="preserve">PLANILHA DETALHADA DE FORMAÇÃO DE PREÇO</t>
  </si>
  <si>
    <t xml:space="preserve">POLO V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</si>
  <si>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</si>
  <si>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</si>
  <si>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</si>
  <si>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</si>
  <si>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</si>
  <si>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</si>
  <si>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</si>
  <si>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V.</t>
  </si>
  <si>
    <t xml:space="preserve">Mês</t>
  </si>
  <si>
    <t xml:space="preserve">VALOR TOTAL DO ITEM 5: R$ 1.412.686,68 (Um milhão, quatrocentos e doze mil, seiscentos e oitenta e seis reais e sessenta e oito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</si>
  <si>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</si>
  <si>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</si>
  <si>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</si>
  <si>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</si>
  <si>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</si>
  <si>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</si>
  <si>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</si>
  <si>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</si>
  <si>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FLORIANÓPOLIS</t>
  </si>
  <si>
    <t xml:space="preserve">CRICIÚMA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</si>
  <si>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</si>
  <si>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</si>
  <si>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</si>
  <si>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</si>
  <si>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</si>
  <si>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</si>
  <si>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</si>
  <si>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</si>
  <si>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</si>
  <si>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</si>
  <si>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</si>
  <si>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</si>
  <si>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</si>
  <si>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</si>
  <si>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</si>
  <si>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</si>
  <si>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</si>
  <si>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</si>
  <si>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</si>
  <si>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</si>
  <si>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</si>
  <si>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</si>
  <si>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</si>
  <si>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</si>
  <si>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</si>
  <si>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</si>
  <si>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</si>
  <si>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</si>
  <si>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</si>
  <si>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</si>
  <si>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</si>
  <si>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</si>
  <si>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</si>
  <si>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</si>
  <si>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</si>
  <si>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</si>
  <si>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</si>
  <si>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</si>
  <si>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</si>
  <si>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</si>
  <si>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</si>
  <si>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</si>
  <si>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</si>
  <si>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</si>
  <si>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</si>
  <si>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</si>
  <si>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</si>
  <si>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</si>
  <si>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</si>
  <si>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</si>
  <si>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</si>
  <si>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</si>
  <si>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</si>
  <si>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</si>
  <si>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</si>
  <si>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</si>
  <si>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</si>
  <si>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</si>
  <si>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ALFREDO WAGNER</t>
  </si>
  <si>
    <t xml:space="preserve">Custo por tipo de rotina</t>
  </si>
  <si>
    <t xml:space="preserve">APS BI – FLORIANÓPOLIS</t>
  </si>
  <si>
    <t xml:space="preserve">Custo Anual por tipo de rotina</t>
  </si>
  <si>
    <t xml:space="preserve">APS BIGUAÇU</t>
  </si>
  <si>
    <t xml:space="preserve">APS CURITIBANOS</t>
  </si>
  <si>
    <t xml:space="preserve">DEPÓSITO FLORIANÓPOLIS - CONTINENTE</t>
  </si>
  <si>
    <t xml:space="preserve">Custo Anual Preventiva</t>
  </si>
  <si>
    <t xml:space="preserve">APS ITAPEMA</t>
  </si>
  <si>
    <t xml:space="preserve">APS LAGES</t>
  </si>
  <si>
    <t xml:space="preserve">Custo Anual Corretiva</t>
  </si>
  <si>
    <t xml:space="preserve">APS PALHOÇA</t>
  </si>
  <si>
    <t xml:space="preserve">Custo Médio Mensal Manutenção</t>
  </si>
  <si>
    <t xml:space="preserve">APS SÃO JOSÉ</t>
  </si>
  <si>
    <t xml:space="preserve">Custo Anual Manutenção</t>
  </si>
  <si>
    <t xml:space="preserve">APS TIJUCAS</t>
  </si>
  <si>
    <t xml:space="preserve">CEDOC PALHOÇA</t>
  </si>
  <si>
    <t xml:space="preserve">GALPÕES AV. MAURO RAMOS</t>
  </si>
  <si>
    <t xml:space="preserve">GEX/APS FLORIANÓPOLIS</t>
  </si>
  <si>
    <t xml:space="preserve">SALAS EMEDAUX</t>
  </si>
  <si>
    <t xml:space="preserve">SEDE DA SUPERINTENDÊNCIA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</si>
  <si>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</si>
  <si>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</si>
  <si>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</si>
  <si>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</si>
  <si>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</si>
  <si>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</si>
  <si>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</si>
  <si>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</si>
  <si>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</si>
  <si>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</si>
  <si>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</si>
  <si>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</si>
  <si>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</si>
  <si>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</si>
  <si>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</si>
  <si>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</si>
  <si>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</si>
  <si>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</si>
  <si>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</si>
  <si>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</si>
  <si>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</si>
  <si>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</si>
  <si>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</si>
  <si>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</si>
  <si>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</si>
  <si>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</si>
  <si>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</si>
  <si>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</si>
  <si>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</si>
  <si>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</si>
  <si>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</si>
  <si>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</si>
  <si>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</si>
  <si>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</si>
  <si>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</si>
  <si>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</si>
  <si>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</si>
  <si>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</si>
  <si>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</si>
  <si>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ARARANGUÁ</t>
  </si>
  <si>
    <t xml:space="preserve">APS BRAÇO DO NORTE</t>
  </si>
  <si>
    <t xml:space="preserve">APS CAPIVARI DE BAIXO</t>
  </si>
  <si>
    <t xml:space="preserve">APS FORQUILHINHA</t>
  </si>
  <si>
    <t xml:space="preserve">APS IÇARA</t>
  </si>
  <si>
    <t xml:space="preserve">APS LAGUNA</t>
  </si>
  <si>
    <t xml:space="preserve">APS SOMBRIO</t>
  </si>
  <si>
    <t xml:space="preserve">APS TUBARÃO</t>
  </si>
  <si>
    <t xml:space="preserve">APS URUSSANGA</t>
  </si>
  <si>
    <t xml:space="preserve">CEDOCPREV CRICIÚMA</t>
  </si>
  <si>
    <t xml:space="preserve">GEX/APS CRICIÚMA</t>
  </si>
  <si>
    <t xml:space="preserve">APS IMBITUBA</t>
  </si>
  <si>
    <t xml:space="preserve">APS SÃO JOAQUIM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</si>
  <si>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</si>
  <si>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</si>
  <si>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</si>
  <si>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</si>
  <si>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</si>
  <si>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</si>
  <si>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</si>
  <si>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</si>
  <si>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</si>
  <si>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</si>
  <si>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</si>
  <si>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</si>
  <si>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Desonerado</t>
  </si>
  <si>
    <t xml:space="preserve">codigo</t>
  </si>
  <si>
    <t xml:space="preserve">Valor Unitário Desonerado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</si>
  <si>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</si>
  <si>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</si>
  <si>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</si>
  <si>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</si>
  <si>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</si>
  <si>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</si>
  <si>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</si>
  <si>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</si>
  <si>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</si>
  <si>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</si>
  <si>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</si>
  <si>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</si>
  <si>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</si>
  <si>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</si>
  <si>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</si>
  <si>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</si>
  <si>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</si>
  <si>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</si>
  <si>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</si>
  <si>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</si>
  <si>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</si>
  <si>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</si>
  <si>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</si>
  <si>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</si>
  <si>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</si>
  <si>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</si>
  <si>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</si>
  <si>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</si>
  <si>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</si>
  <si>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</si>
  <si>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</si>
  <si>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</si>
  <si>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</si>
  <si>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</si>
  <si>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</si>
  <si>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</si>
  <si>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</si>
  <si>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</si>
  <si>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</si>
  <si>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</si>
  <si>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</si>
  <si>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</si>
  <si>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</si>
  <si>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</si>
  <si>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</si>
  <si>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</si>
  <si>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</si>
  <si>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</si>
  <si>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</si>
  <si>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</si>
  <si>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</si>
  <si>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</si>
  <si>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</si>
  <si>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</si>
  <si>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</si>
  <si>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</si>
  <si>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</si>
  <si>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</si>
  <si>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</si>
  <si>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</si>
  <si>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SC001231/2023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</si>
  <si>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</si>
  <si>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</si>
  <si>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</si>
  <si>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</si>
  <si>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Valor Não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</si>
  <si>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</si>
  <si>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</si>
  <si>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</si>
  <si>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</si>
  <si>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</si>
  <si>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</si>
  <si>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</si>
  <si>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</si>
  <si>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</si>
  <si>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</si>
  <si>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</si>
  <si>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</si>
  <si>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</si>
  <si>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</si>
  <si>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</si>
  <si>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</si>
  <si>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</si>
  <si>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</si>
  <si>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</si>
  <si>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</si>
  <si>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</si>
  <si>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</si>
  <si>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</si>
  <si>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</si>
  <si>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</si>
  <si>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</si>
  <si>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</si>
  <si>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</si>
  <si>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</si>
  <si>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</si>
  <si>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</si>
  <si>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</si>
  <si>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Major Pedro Borges, 103, Centro</t>
  </si>
  <si>
    <t xml:space="preserve">NÃO</t>
  </si>
  <si>
    <t xml:space="preserve">Rua Álvaro de Carvalho, 92, Centro, Florianópolis</t>
  </si>
  <si>
    <t xml:space="preserve">SIM</t>
  </si>
  <si>
    <t xml:space="preserve">Rua Getúlio Vargas, 70, Centro</t>
  </si>
  <si>
    <t xml:space="preserve">Rua Maximino de Moraes, 357, Centro</t>
  </si>
  <si>
    <t xml:space="preserve">Av. Ivo Silveira, 1960, Capoeiras</t>
  </si>
  <si>
    <t xml:space="preserve">Rua Cento e Vinte e Um, 92, Centro</t>
  </si>
  <si>
    <t xml:space="preserve">Rua Governador Jorge Lacerda, 126, Centro</t>
  </si>
  <si>
    <t xml:space="preserve">Av. Barão do Rio Branco, 277, Centro</t>
  </si>
  <si>
    <t xml:space="preserve">Rua Ademar da Silva, 1279 Kobrasol</t>
  </si>
  <si>
    <t xml:space="preserve">Rua Atílio Campos Filho, S/N, Centro</t>
  </si>
  <si>
    <t xml:space="preserve">Av. Nelson Martins, 405, Centro</t>
  </si>
  <si>
    <t xml:space="preserve">Av. Mauro Ramos, 1880, Centro, Florianópolis</t>
  </si>
  <si>
    <t xml:space="preserve">Rua Felipe Schmidt, 331, Centro</t>
  </si>
  <si>
    <t xml:space="preserve">Rua Santos Dumont, 64, Centro, Florianópolis</t>
  </si>
  <si>
    <t xml:space="preserve">Praça Pereira Oliveira, 13, Centro, Florianópolis</t>
  </si>
  <si>
    <t xml:space="preserve">Rua Caetano Lummertz, 722, Centro</t>
  </si>
  <si>
    <t xml:space="preserve">Av. Felipe Schimidt, 1001, Centro</t>
  </si>
  <si>
    <t xml:space="preserve">Av. Ernani Cotrin, 225, Centro</t>
  </si>
  <si>
    <t xml:space="preserve">Av. Professor Eurico Back, S/N, Centro</t>
  </si>
  <si>
    <t xml:space="preserve">Travessa Padre Boleslau, 400, Centro</t>
  </si>
  <si>
    <t xml:space="preserve">Rua Raulino Horn, 140, Centro</t>
  </si>
  <si>
    <t xml:space="preserve">Rua Generino Teixeira da Rosa, 283, Raizera</t>
  </si>
  <si>
    <t xml:space="preserve">Rua São Manoel, 40, Centro</t>
  </si>
  <si>
    <t xml:space="preserve">Rua Barão do Rio Branco, 88, Centro</t>
  </si>
  <si>
    <t xml:space="preserve">Rua Leonardo Bialek, 995, Centro</t>
  </si>
  <si>
    <t xml:space="preserve">Rua São José, 170, Centro</t>
  </si>
  <si>
    <t xml:space="preserve">Av. Santa Catarina, 952, Centro</t>
  </si>
  <si>
    <t xml:space="preserve">Rua Domingos Martorano, 350,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</si>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</sst>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General"/>
    <numFmt numFmtId="170" formatCode="#,##0.00"/>
    <numFmt numFmtId="171" formatCode="0.00"/>
    <numFmt numFmtId="172" formatCode="0.0000%"/>
    <numFmt numFmtId="173" formatCode="#,##0.00\ ;[RED]\(#,##0.00\)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29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theme="1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9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9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9"/>
        <bgColor rgb="FFD9D9D9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2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3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3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2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5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9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1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1" fillId="4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46080</xdr:colOff>
      <xdr:row>1</xdr:row>
      <xdr:rowOff>1175760</xdr:rowOff>
    </xdr:to>
    <xdr:sp>
      <xdr:nvSpPr>
        <xdr:cNvPr id="0" name="CustomShape 1"/>
        <xdr:cNvSpPr/>
      </xdr:nvSpPr>
      <xdr:spPr>
        <a:xfrm>
          <a:off x="2441160" y="288360"/>
          <a:ext cx="2639880" cy="10778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2266920</xdr:colOff>
      <xdr:row>1</xdr:row>
      <xdr:rowOff>169560</xdr:rowOff>
    </xdr:from>
    <xdr:to>
      <xdr:col>5</xdr:col>
      <xdr:colOff>123120</xdr:colOff>
      <xdr:row>1</xdr:row>
      <xdr:rowOff>1108800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3128760" y="360000"/>
          <a:ext cx="2029320" cy="939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2759400</xdr:colOff>
      <xdr:row>29</xdr:row>
      <xdr:rowOff>56520</xdr:rowOff>
    </xdr:to>
    <xdr:pic>
      <xdr:nvPicPr>
        <xdr:cNvPr id="2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5835600"/>
          <a:ext cx="6277680" cy="61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163080</xdr:colOff>
      <xdr:row>21</xdr:row>
      <xdr:rowOff>528120</xdr:rowOff>
    </xdr:to>
    <xdr:pic>
      <xdr:nvPicPr>
        <xdr:cNvPr id="3" name="Figura 3" descr=""/>
        <xdr:cNvPicPr/>
      </xdr:nvPicPr>
      <xdr:blipFill>
        <a:blip r:embed="rId2"/>
        <a:srcRect l="6614" t="69076" r="12466" b="20121"/>
        <a:stretch/>
      </xdr:blipFill>
      <xdr:spPr>
        <a:xfrm>
          <a:off x="442440" y="3910680"/>
          <a:ext cx="6693120" cy="497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G11" activeCellId="0" sqref="G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5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117723.89</v>
      </c>
      <c r="G11" s="14" t="n">
        <f aca="false">F11*12</f>
        <v>1412686.68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14" customFormat="false" ht="13.8" hidden="false" customHeight="false" outlineLevel="0" collapsed="false">
      <c r="G14" s="16"/>
    </row>
    <row r="15" customFormat="false" ht="13.8" hidden="false" customHeight="false" outlineLevel="0" collapsed="false">
      <c r="G15" s="17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H17" activeCellId="0" sqref="H17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4" t="s">
        <v>201</v>
      </c>
      <c r="C2" s="174"/>
      <c r="D2" s="174"/>
      <c r="E2" s="174"/>
      <c r="F2" s="174"/>
      <c r="G2" s="174"/>
      <c r="H2" s="174"/>
      <c r="I2" s="174"/>
    </row>
    <row r="3" customFormat="false" ht="19.5" hidden="false" customHeight="true" outlineLevel="0" collapsed="false"/>
    <row r="4" customFormat="false" ht="16.5" hidden="false" customHeight="true" outlineLevel="0" collapsed="false">
      <c r="B4" s="175" t="s">
        <v>202</v>
      </c>
      <c r="C4" s="175"/>
      <c r="D4" s="175"/>
      <c r="E4" s="175"/>
      <c r="F4" s="175"/>
      <c r="G4" s="175"/>
      <c r="H4" s="175"/>
      <c r="I4" s="175"/>
    </row>
    <row r="5" customFormat="false" ht="16.5" hidden="false" customHeight="true" outlineLevel="0" collapsed="false">
      <c r="B5" s="204" t="s">
        <v>157</v>
      </c>
      <c r="C5" s="204"/>
      <c r="D5" s="205" t="n">
        <v>91677</v>
      </c>
      <c r="E5" s="205"/>
      <c r="F5" s="205"/>
      <c r="G5" s="205"/>
      <c r="H5" s="205"/>
      <c r="I5" s="205"/>
    </row>
    <row r="6" customFormat="false" ht="16.5" hidden="false" customHeight="true" outlineLevel="0" collapsed="false">
      <c r="B6" s="204" t="s">
        <v>124</v>
      </c>
      <c r="C6" s="204"/>
      <c r="D6" s="205" t="s">
        <v>203</v>
      </c>
      <c r="E6" s="205"/>
      <c r="F6" s="205"/>
      <c r="G6" s="205"/>
      <c r="H6" s="205"/>
      <c r="I6" s="205"/>
    </row>
    <row r="7" customFormat="false" ht="16.5" hidden="false" customHeight="true" outlineLevel="0" collapsed="false">
      <c r="B7" s="204" t="s">
        <v>160</v>
      </c>
      <c r="C7" s="204"/>
      <c r="D7" s="206" t="s">
        <v>161</v>
      </c>
      <c r="E7" s="206"/>
      <c r="F7" s="206"/>
      <c r="G7" s="206"/>
      <c r="H7" s="206"/>
      <c r="I7" s="206"/>
    </row>
    <row r="8" customFormat="false" ht="16.5" hidden="false" customHeight="true" outlineLevel="0" collapsed="false">
      <c r="B8" s="204" t="s">
        <v>162</v>
      </c>
      <c r="C8" s="204"/>
      <c r="D8" s="205" t="s">
        <v>186</v>
      </c>
      <c r="E8" s="205"/>
      <c r="F8" s="205"/>
      <c r="G8" s="205"/>
      <c r="H8" s="205"/>
      <c r="I8" s="205"/>
    </row>
    <row r="9" customFormat="false" ht="16.5" hidden="false" customHeight="true" outlineLevel="0" collapsed="false">
      <c r="B9" s="204" t="s">
        <v>164</v>
      </c>
      <c r="C9" s="204"/>
      <c r="D9" s="205" t="s">
        <v>204</v>
      </c>
      <c r="E9" s="205"/>
      <c r="F9" s="205"/>
      <c r="G9" s="205"/>
      <c r="H9" s="205"/>
      <c r="I9" s="205"/>
    </row>
    <row r="10" customFormat="false" ht="16.5" hidden="false" customHeight="true" outlineLevel="0" collapsed="false">
      <c r="B10" s="204" t="s">
        <v>125</v>
      </c>
      <c r="C10" s="204"/>
      <c r="D10" s="205" t="s">
        <v>173</v>
      </c>
      <c r="E10" s="205"/>
      <c r="F10" s="205"/>
      <c r="G10" s="205"/>
      <c r="H10" s="205"/>
      <c r="I10" s="205"/>
    </row>
    <row r="11" customFormat="false" ht="23.25" hidden="false" customHeight="true" outlineLevel="0" collapsed="false">
      <c r="B11" s="176" t="s">
        <v>166</v>
      </c>
      <c r="C11" s="176"/>
      <c r="D11" s="207" t="n">
        <f aca="false">SUM(I15:I20)</f>
        <v>110.108125</v>
      </c>
      <c r="E11" s="207"/>
      <c r="F11" s="207"/>
      <c r="G11" s="207"/>
      <c r="H11" s="207"/>
      <c r="I11" s="207"/>
    </row>
    <row r="12" customFormat="false" ht="15.75" hidden="false" customHeight="true" outlineLevel="0" collapsed="false">
      <c r="B12" s="180"/>
      <c r="C12" s="180"/>
      <c r="D12" s="181"/>
      <c r="E12" s="181"/>
      <c r="F12" s="181"/>
      <c r="G12" s="181"/>
      <c r="H12" s="181"/>
      <c r="I12" s="181"/>
    </row>
    <row r="13" customFormat="false" ht="15.75" hidden="false" customHeight="true" outlineLevel="0" collapsed="false">
      <c r="B13" s="180"/>
      <c r="C13" s="180"/>
      <c r="D13" s="181"/>
      <c r="E13" s="181"/>
      <c r="F13" s="181"/>
      <c r="G13" s="181"/>
      <c r="H13" s="181"/>
      <c r="I13" s="181"/>
    </row>
    <row r="14" customFormat="false" ht="30" hidden="false" customHeight="false" outlineLevel="0" collapsed="false">
      <c r="B14" s="182"/>
      <c r="C14" s="182" t="s">
        <v>167</v>
      </c>
      <c r="D14" s="182" t="s">
        <v>124</v>
      </c>
      <c r="E14" s="182" t="s">
        <v>164</v>
      </c>
      <c r="F14" s="182" t="s">
        <v>125</v>
      </c>
      <c r="G14" s="182" t="s">
        <v>168</v>
      </c>
      <c r="H14" s="182" t="s">
        <v>169</v>
      </c>
      <c r="I14" s="182" t="s">
        <v>166</v>
      </c>
    </row>
    <row r="15" customFormat="false" ht="19.5" hidden="false" customHeight="true" outlineLevel="0" collapsed="false">
      <c r="B15" s="184" t="s">
        <v>205</v>
      </c>
      <c r="C15" s="184" t="s">
        <v>206</v>
      </c>
      <c r="D15" s="184" t="s">
        <v>207</v>
      </c>
      <c r="E15" s="184" t="s">
        <v>208</v>
      </c>
      <c r="F15" s="184" t="s">
        <v>173</v>
      </c>
      <c r="G15" s="186" t="n">
        <v>3.84</v>
      </c>
      <c r="H15" s="186" t="n">
        <v>1</v>
      </c>
      <c r="I15" s="208" t="n">
        <f aca="false">G15*H15</f>
        <v>3.84</v>
      </c>
      <c r="J15" s="209"/>
      <c r="K15" s="209"/>
    </row>
    <row r="16" customFormat="false" ht="19.5" hidden="false" customHeight="true" outlineLevel="0" collapsed="false">
      <c r="B16" s="184" t="s">
        <v>205</v>
      </c>
      <c r="C16" s="184" t="s">
        <v>209</v>
      </c>
      <c r="D16" s="184" t="s">
        <v>188</v>
      </c>
      <c r="E16" s="184" t="s">
        <v>210</v>
      </c>
      <c r="F16" s="184" t="s">
        <v>173</v>
      </c>
      <c r="G16" s="186" t="n">
        <f aca="false">'Custo Eng. Eletricista'!C13</f>
        <v>104.338125</v>
      </c>
      <c r="H16" s="186" t="n">
        <v>1</v>
      </c>
      <c r="I16" s="208" t="n">
        <f aca="false">G16*H16</f>
        <v>104.338125</v>
      </c>
      <c r="J16" s="209"/>
      <c r="K16" s="209"/>
    </row>
    <row r="17" customFormat="false" ht="30" hidden="false" customHeight="true" outlineLevel="0" collapsed="false">
      <c r="B17" s="184" t="s">
        <v>205</v>
      </c>
      <c r="C17" s="184" t="s">
        <v>211</v>
      </c>
      <c r="D17" s="184" t="s">
        <v>212</v>
      </c>
      <c r="E17" s="184" t="s">
        <v>213</v>
      </c>
      <c r="F17" s="184" t="s">
        <v>173</v>
      </c>
      <c r="G17" s="186" t="s">
        <v>214</v>
      </c>
      <c r="H17" s="186" t="n">
        <v>1</v>
      </c>
      <c r="I17" s="208" t="n">
        <f aca="false">G17*H17</f>
        <v>1.14</v>
      </c>
      <c r="J17" s="209"/>
      <c r="K17" s="209"/>
    </row>
    <row r="18" customFormat="false" ht="30" hidden="false" customHeight="true" outlineLevel="0" collapsed="false">
      <c r="B18" s="184" t="s">
        <v>205</v>
      </c>
      <c r="C18" s="184" t="s">
        <v>215</v>
      </c>
      <c r="D18" s="184" t="s">
        <v>216</v>
      </c>
      <c r="E18" s="184" t="s">
        <v>217</v>
      </c>
      <c r="F18" s="184" t="s">
        <v>173</v>
      </c>
      <c r="G18" s="186" t="s">
        <v>218</v>
      </c>
      <c r="H18" s="186" t="n">
        <v>1</v>
      </c>
      <c r="I18" s="208" t="n">
        <f aca="false">G18*H18</f>
        <v>0.07</v>
      </c>
      <c r="J18" s="209"/>
      <c r="K18" s="209"/>
    </row>
    <row r="19" customFormat="false" ht="30" hidden="false" customHeight="true" outlineLevel="0" collapsed="false">
      <c r="B19" s="184" t="s">
        <v>205</v>
      </c>
      <c r="C19" s="184" t="s">
        <v>219</v>
      </c>
      <c r="D19" s="184" t="s">
        <v>220</v>
      </c>
      <c r="E19" s="184" t="s">
        <v>221</v>
      </c>
      <c r="F19" s="184" t="s">
        <v>173</v>
      </c>
      <c r="G19" s="186" t="s">
        <v>222</v>
      </c>
      <c r="H19" s="186" t="n">
        <v>1</v>
      </c>
      <c r="I19" s="208" t="n">
        <f aca="false">G19*H19</f>
        <v>0.01</v>
      </c>
      <c r="J19" s="209"/>
      <c r="K19" s="209"/>
    </row>
    <row r="20" customFormat="false" ht="30" hidden="false" customHeight="true" outlineLevel="0" collapsed="false">
      <c r="B20" s="184" t="s">
        <v>205</v>
      </c>
      <c r="C20" s="184" t="s">
        <v>223</v>
      </c>
      <c r="D20" s="184" t="s">
        <v>224</v>
      </c>
      <c r="E20" s="184" t="s">
        <v>221</v>
      </c>
      <c r="F20" s="184" t="s">
        <v>173</v>
      </c>
      <c r="G20" s="186" t="s">
        <v>225</v>
      </c>
      <c r="H20" s="186" t="n">
        <v>1</v>
      </c>
      <c r="I20" s="208" t="n">
        <f aca="false">G20*H20</f>
        <v>0.71</v>
      </c>
      <c r="J20" s="209"/>
      <c r="K20" s="209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L8" activeCellId="0" sqref="L8"/>
    </sheetView>
  </sheetViews>
  <sheetFormatPr defaultColWidth="10.125" defaultRowHeight="12.75" zeroHeight="false" outlineLevelRow="0" outlineLevelCol="0"/>
  <cols>
    <col collapsed="false" customWidth="true" hidden="false" outlineLevel="0" max="1" min="1" style="188" width="5.62"/>
    <col collapsed="false" customWidth="true" hidden="false" outlineLevel="0" max="2" min="2" style="188" width="47.25"/>
    <col collapsed="false" customWidth="true" hidden="false" outlineLevel="0" max="3" min="3" style="188" width="37.12"/>
    <col collapsed="false" customWidth="true" hidden="false" outlineLevel="0" max="4" min="4" style="188" width="29.88"/>
    <col collapsed="false" customWidth="true" hidden="false" outlineLevel="0" max="5" min="5" style="188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210" t="s">
        <v>186</v>
      </c>
    </row>
    <row r="3" customFormat="false" ht="12.8" hidden="false" customHeight="false" outlineLevel="0" collapsed="false">
      <c r="B3" s="190" t="s">
        <v>226</v>
      </c>
      <c r="C3" s="210" t="s">
        <v>227</v>
      </c>
    </row>
    <row r="4" customFormat="false" ht="12.8" hidden="false" customHeight="false" outlineLevel="0" collapsed="false">
      <c r="B4" s="190" t="s">
        <v>228</v>
      </c>
      <c r="C4" s="191" t="s">
        <v>229</v>
      </c>
    </row>
    <row r="5" customFormat="false" ht="12.8" hidden="false" customHeight="false" outlineLevel="0" collapsed="false">
      <c r="B5" s="190" t="s">
        <v>191</v>
      </c>
      <c r="C5" s="211" t="n">
        <v>45047</v>
      </c>
    </row>
    <row r="6" customFormat="false" ht="23.3" hidden="false" customHeight="false" outlineLevel="0" collapsed="false">
      <c r="B6" s="190" t="s">
        <v>230</v>
      </c>
      <c r="C6" s="191" t="s">
        <v>231</v>
      </c>
    </row>
    <row r="7" customFormat="false" ht="12.8" hidden="false" customHeight="false" outlineLevel="0" collapsed="false">
      <c r="B7" s="190" t="s">
        <v>232</v>
      </c>
      <c r="C7" s="212" t="n">
        <v>2760</v>
      </c>
    </row>
    <row r="8" customFormat="false" ht="12.75" hidden="false" customHeight="false" outlineLevel="0" collapsed="false">
      <c r="B8" s="213"/>
      <c r="C8" s="214"/>
    </row>
    <row r="9" customFormat="false" ht="23.3" hidden="false" customHeight="false" outlineLevel="0" collapsed="false">
      <c r="B9" s="215" t="s">
        <v>233</v>
      </c>
      <c r="C9" s="190"/>
    </row>
    <row r="10" customFormat="false" ht="12.8" hidden="false" customHeight="false" outlineLevel="0" collapsed="false">
      <c r="B10" s="190" t="s">
        <v>195</v>
      </c>
      <c r="C10" s="216" t="n">
        <v>0.8549</v>
      </c>
    </row>
    <row r="11" customFormat="false" ht="12.8" hidden="false" customHeight="false" outlineLevel="0" collapsed="false">
      <c r="B11" s="190" t="s">
        <v>234</v>
      </c>
      <c r="C11" s="216" t="n">
        <v>0.4784</v>
      </c>
    </row>
    <row r="12" customFormat="false" ht="12.8" hidden="false" customHeight="false" outlineLevel="0" collapsed="false">
      <c r="B12" s="190" t="s">
        <v>196</v>
      </c>
      <c r="C12" s="216" t="n">
        <v>1.1547</v>
      </c>
    </row>
    <row r="13" customFormat="false" ht="13.8" hidden="false" customHeight="false" outlineLevel="0" collapsed="false">
      <c r="B13" s="190" t="s">
        <v>235</v>
      </c>
      <c r="C13" s="216" t="n">
        <v>0.718</v>
      </c>
    </row>
    <row r="14" customFormat="false" ht="13.5" hidden="false" customHeight="true" outlineLevel="0" collapsed="false">
      <c r="B14" s="213"/>
      <c r="C14" s="213"/>
    </row>
    <row r="15" customFormat="false" ht="12.75" hidden="false" customHeight="false" outlineLevel="0" collapsed="false">
      <c r="B15" s="198" t="s">
        <v>236</v>
      </c>
      <c r="C15" s="199"/>
    </row>
    <row r="16" customFormat="false" ht="15.75" hidden="false" customHeight="false" outlineLevel="0" collapsed="false">
      <c r="B16" s="217" t="s">
        <v>237</v>
      </c>
      <c r="C16" s="199" t="n">
        <f aca="false">C7*(1+C11)</f>
        <v>4080.384</v>
      </c>
      <c r="D16" s="218"/>
      <c r="E16" s="218"/>
    </row>
    <row r="17" customFormat="false" ht="15.75" hidden="false" customHeight="false" outlineLevel="0" collapsed="false">
      <c r="B17" s="217" t="s">
        <v>238</v>
      </c>
      <c r="C17" s="199" t="n">
        <f aca="false">C7*(1+C13)</f>
        <v>4741.68</v>
      </c>
      <c r="D17" s="218"/>
      <c r="E17" s="218"/>
    </row>
    <row r="18" customFormat="false" ht="15.75" hidden="false" customHeight="false" outlineLevel="0" collapsed="false">
      <c r="B18" s="217" t="s">
        <v>239</v>
      </c>
      <c r="C18" s="219" t="n">
        <f aca="false">C16*(1+C10)/(220*(1+C11))</f>
        <v>23.2705636363636</v>
      </c>
      <c r="D18" s="220"/>
      <c r="E18" s="218"/>
    </row>
    <row r="19" customFormat="false" ht="15.75" hidden="false" customHeight="false" outlineLevel="0" collapsed="false">
      <c r="B19" s="217" t="s">
        <v>240</v>
      </c>
      <c r="C19" s="219" t="n">
        <f aca="false">(C17*(1+C12)/(220*(1+C13)))</f>
        <v>27.0316909090909</v>
      </c>
      <c r="D19" s="220"/>
      <c r="E19" s="218"/>
    </row>
    <row r="21" customFormat="false" ht="12.75" hidden="false" customHeight="false" outlineLevel="0" collapsed="false">
      <c r="B21" s="188" t="s">
        <v>241</v>
      </c>
    </row>
    <row r="22" customFormat="false" ht="48.85" hidden="false" customHeight="true" outlineLevel="0" collapsed="false"/>
    <row r="23" customFormat="false" ht="34.5" hidden="false" customHeight="true" outlineLevel="0" collapsed="false">
      <c r="B23" s="203" t="s">
        <v>242</v>
      </c>
      <c r="C23" s="203"/>
    </row>
    <row r="24" customFormat="false" ht="33.75" hidden="false" customHeight="true" outlineLevel="0" collapsed="false">
      <c r="B24" s="203" t="s">
        <v>243</v>
      </c>
      <c r="C24" s="203"/>
    </row>
    <row r="25" customFormat="false" ht="30" hidden="false" customHeight="true" outlineLevel="0" collapsed="false">
      <c r="B25" s="203" t="s">
        <v>244</v>
      </c>
      <c r="C25" s="203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D33" activeCellId="0" sqref="D33"/>
    </sheetView>
  </sheetViews>
  <sheetFormatPr defaultColWidth="8.125" defaultRowHeight="12.75" zeroHeight="false" outlineLevelRow="0" outlineLevelCol="0"/>
  <cols>
    <col collapsed="false" customWidth="true" hidden="false" outlineLevel="0" max="1" min="1" style="221" width="5.62"/>
    <col collapsed="false" customWidth="true" hidden="false" outlineLevel="0" max="2" min="2" style="221" width="2.88"/>
    <col collapsed="false" customWidth="true" hidden="false" outlineLevel="0" max="3" min="3" style="221" width="11.75"/>
    <col collapsed="false" customWidth="true" hidden="false" outlineLevel="0" max="4" min="4" style="221" width="57.75"/>
    <col collapsed="false" customWidth="true" hidden="false" outlineLevel="0" max="5" min="5" style="221" width="28.88"/>
    <col collapsed="false" customWidth="true" hidden="false" outlineLevel="0" max="6" min="6" style="221" width="9.62"/>
    <col collapsed="false" customWidth="true" hidden="false" outlineLevel="0" max="7" min="7" style="221" width="13.25"/>
    <col collapsed="false" customWidth="true" hidden="false" outlineLevel="0" max="8" min="8" style="221" width="11.5"/>
    <col collapsed="false" customWidth="true" hidden="false" outlineLevel="0" max="9" min="9" style="221" width="13.5"/>
    <col collapsed="false" customWidth="true" hidden="false" outlineLevel="0" max="1026" min="10" style="221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22" t="s">
        <v>245</v>
      </c>
      <c r="C2" s="222"/>
      <c r="D2" s="222"/>
      <c r="E2" s="222"/>
      <c r="F2" s="222"/>
      <c r="G2" s="222"/>
      <c r="H2" s="222"/>
      <c r="I2" s="222"/>
    </row>
    <row r="3" customFormat="false" ht="21" hidden="false" customHeight="true" outlineLevel="0" collapsed="false"/>
    <row r="4" customFormat="false" ht="16.5" hidden="false" customHeight="true" outlineLevel="0" collapsed="false">
      <c r="B4" s="223" t="s">
        <v>246</v>
      </c>
      <c r="C4" s="223"/>
      <c r="D4" s="223"/>
      <c r="E4" s="223"/>
      <c r="F4" s="223"/>
      <c r="G4" s="223"/>
      <c r="H4" s="223"/>
      <c r="I4" s="223"/>
    </row>
    <row r="5" customFormat="false" ht="16.5" hidden="false" customHeight="true" outlineLevel="0" collapsed="false">
      <c r="B5" s="224" t="s">
        <v>157</v>
      </c>
      <c r="C5" s="224"/>
      <c r="D5" s="225" t="n">
        <v>88264</v>
      </c>
      <c r="E5" s="225"/>
      <c r="F5" s="225"/>
      <c r="G5" s="225"/>
      <c r="H5" s="225"/>
      <c r="I5" s="225"/>
    </row>
    <row r="6" customFormat="false" ht="16.5" hidden="false" customHeight="true" outlineLevel="0" collapsed="false">
      <c r="B6" s="224" t="s">
        <v>124</v>
      </c>
      <c r="C6" s="224"/>
      <c r="D6" s="225" t="s">
        <v>247</v>
      </c>
      <c r="E6" s="225"/>
      <c r="F6" s="225"/>
      <c r="G6" s="225"/>
      <c r="H6" s="225"/>
      <c r="I6" s="225"/>
    </row>
    <row r="7" customFormat="false" ht="16.5" hidden="false" customHeight="true" outlineLevel="0" collapsed="false">
      <c r="B7" s="224" t="s">
        <v>160</v>
      </c>
      <c r="C7" s="224"/>
      <c r="D7" s="226" t="s">
        <v>161</v>
      </c>
      <c r="E7" s="226"/>
      <c r="F7" s="226"/>
      <c r="G7" s="226"/>
      <c r="H7" s="226"/>
      <c r="I7" s="226"/>
    </row>
    <row r="8" customFormat="false" ht="16.5" hidden="false" customHeight="true" outlineLevel="0" collapsed="false">
      <c r="B8" s="224" t="s">
        <v>162</v>
      </c>
      <c r="C8" s="224"/>
      <c r="D8" s="225" t="s">
        <v>186</v>
      </c>
      <c r="E8" s="225"/>
      <c r="F8" s="225"/>
      <c r="G8" s="225"/>
      <c r="H8" s="225"/>
      <c r="I8" s="225"/>
    </row>
    <row r="9" customFormat="false" ht="16.5" hidden="false" customHeight="true" outlineLevel="0" collapsed="false">
      <c r="B9" s="224" t="s">
        <v>164</v>
      </c>
      <c r="C9" s="224"/>
      <c r="D9" s="225" t="s">
        <v>204</v>
      </c>
      <c r="E9" s="225"/>
      <c r="F9" s="225"/>
      <c r="G9" s="225"/>
      <c r="H9" s="225"/>
      <c r="I9" s="225"/>
    </row>
    <row r="10" customFormat="false" ht="16.5" hidden="false" customHeight="true" outlineLevel="0" collapsed="false">
      <c r="B10" s="224" t="s">
        <v>125</v>
      </c>
      <c r="C10" s="224"/>
      <c r="D10" s="225" t="s">
        <v>173</v>
      </c>
      <c r="E10" s="225"/>
      <c r="F10" s="225"/>
      <c r="G10" s="225"/>
      <c r="H10" s="225"/>
      <c r="I10" s="225"/>
    </row>
    <row r="11" customFormat="false" ht="23.25" hidden="false" customHeight="true" outlineLevel="0" collapsed="false">
      <c r="B11" s="227" t="s">
        <v>166</v>
      </c>
      <c r="C11" s="227"/>
      <c r="D11" s="228" t="n">
        <f aca="false">SUM(I14:I22)</f>
        <v>28.44</v>
      </c>
      <c r="E11" s="228"/>
      <c r="F11" s="228"/>
      <c r="G11" s="228"/>
      <c r="H11" s="228"/>
      <c r="I11" s="228"/>
    </row>
    <row r="12" customFormat="false" ht="15.75" hidden="false" customHeight="true" outlineLevel="0" collapsed="false">
      <c r="B12" s="229"/>
      <c r="C12" s="229"/>
      <c r="D12" s="230"/>
      <c r="E12" s="230"/>
      <c r="F12" s="230"/>
      <c r="G12" s="230"/>
      <c r="H12" s="230"/>
      <c r="I12" s="230"/>
    </row>
    <row r="13" customFormat="false" ht="27" hidden="false" customHeight="false" outlineLevel="0" collapsed="false">
      <c r="B13" s="183"/>
      <c r="C13" s="183" t="s">
        <v>167</v>
      </c>
      <c r="D13" s="183" t="s">
        <v>124</v>
      </c>
      <c r="E13" s="183" t="s">
        <v>164</v>
      </c>
      <c r="F13" s="183" t="s">
        <v>125</v>
      </c>
      <c r="G13" s="183" t="s">
        <v>168</v>
      </c>
      <c r="H13" s="183" t="s">
        <v>169</v>
      </c>
      <c r="I13" s="183" t="s">
        <v>166</v>
      </c>
    </row>
    <row r="14" customFormat="false" ht="27.75" hidden="false" customHeight="true" outlineLevel="0" collapsed="false">
      <c r="B14" s="231" t="s">
        <v>170</v>
      </c>
      <c r="C14" s="231" t="n">
        <v>95332</v>
      </c>
      <c r="D14" s="231" t="s">
        <v>248</v>
      </c>
      <c r="E14" s="231" t="s">
        <v>204</v>
      </c>
      <c r="F14" s="231" t="s">
        <v>173</v>
      </c>
      <c r="G14" s="184" t="n">
        <v>1.08</v>
      </c>
      <c r="H14" s="232" t="n">
        <v>1</v>
      </c>
      <c r="I14" s="233" t="n">
        <f aca="false">G14*H14</f>
        <v>1.08</v>
      </c>
      <c r="J14" s="234"/>
      <c r="K14" s="234"/>
    </row>
    <row r="15" customFormat="false" ht="32.25" hidden="false" customHeight="true" outlineLevel="0" collapsed="false">
      <c r="B15" s="231" t="s">
        <v>205</v>
      </c>
      <c r="C15" s="231" t="s">
        <v>249</v>
      </c>
      <c r="D15" s="231" t="s">
        <v>250</v>
      </c>
      <c r="E15" s="231" t="s">
        <v>210</v>
      </c>
      <c r="F15" s="231" t="s">
        <v>173</v>
      </c>
      <c r="G15" s="184" t="n">
        <v>23.27</v>
      </c>
      <c r="H15" s="232" t="n">
        <v>1</v>
      </c>
      <c r="I15" s="233" t="n">
        <f aca="false">G15*H15</f>
        <v>23.27</v>
      </c>
      <c r="J15" s="234"/>
      <c r="K15" s="234"/>
    </row>
    <row r="16" customFormat="false" ht="42" hidden="false" customHeight="true" outlineLevel="0" collapsed="false">
      <c r="B16" s="231" t="s">
        <v>205</v>
      </c>
      <c r="C16" s="231" t="n">
        <v>37370</v>
      </c>
      <c r="D16" s="231" t="s">
        <v>251</v>
      </c>
      <c r="E16" s="231" t="s">
        <v>213</v>
      </c>
      <c r="F16" s="231" t="s">
        <v>173</v>
      </c>
      <c r="G16" s="184" t="n">
        <v>0.01</v>
      </c>
      <c r="H16" s="232" t="n">
        <v>1</v>
      </c>
      <c r="I16" s="233" t="n">
        <f aca="false">G16*H16</f>
        <v>0.01</v>
      </c>
      <c r="J16" s="234"/>
      <c r="K16" s="234"/>
    </row>
    <row r="17" customFormat="false" ht="27.75" hidden="false" customHeight="true" outlineLevel="0" collapsed="false">
      <c r="B17" s="231" t="s">
        <v>205</v>
      </c>
      <c r="C17" s="231" t="n">
        <v>37371</v>
      </c>
      <c r="D17" s="231" t="s">
        <v>252</v>
      </c>
      <c r="E17" s="231" t="s">
        <v>253</v>
      </c>
      <c r="F17" s="231" t="s">
        <v>173</v>
      </c>
      <c r="G17" s="184" t="n">
        <v>0.55</v>
      </c>
      <c r="H17" s="232" t="n">
        <v>1</v>
      </c>
      <c r="I17" s="233" t="n">
        <f aca="false">G17*H17</f>
        <v>0.55</v>
      </c>
      <c r="J17" s="234"/>
      <c r="K17" s="234"/>
    </row>
    <row r="18" customFormat="false" ht="42" hidden="false" customHeight="true" outlineLevel="0" collapsed="false">
      <c r="B18" s="231" t="s">
        <v>205</v>
      </c>
      <c r="C18" s="231" t="n">
        <v>37372</v>
      </c>
      <c r="D18" s="231" t="s">
        <v>212</v>
      </c>
      <c r="E18" s="231" t="s">
        <v>213</v>
      </c>
      <c r="F18" s="231" t="s">
        <v>173</v>
      </c>
      <c r="G18" s="184" t="n">
        <v>1.14</v>
      </c>
      <c r="H18" s="232" t="n">
        <v>1</v>
      </c>
      <c r="I18" s="233" t="n">
        <f aca="false">G18*H18</f>
        <v>1.14</v>
      </c>
      <c r="J18" s="234"/>
      <c r="K18" s="234"/>
    </row>
    <row r="19" customFormat="false" ht="27.75" hidden="false" customHeight="true" outlineLevel="0" collapsed="false">
      <c r="B19" s="231" t="s">
        <v>205</v>
      </c>
      <c r="C19" s="231" t="n">
        <v>37373</v>
      </c>
      <c r="D19" s="231" t="s">
        <v>216</v>
      </c>
      <c r="E19" s="231" t="s">
        <v>217</v>
      </c>
      <c r="F19" s="231" t="s">
        <v>173</v>
      </c>
      <c r="G19" s="184" t="n">
        <v>0.07</v>
      </c>
      <c r="H19" s="232" t="n">
        <v>1</v>
      </c>
      <c r="I19" s="233" t="n">
        <f aca="false">G19*H19</f>
        <v>0.07</v>
      </c>
      <c r="J19" s="234"/>
      <c r="K19" s="234"/>
    </row>
    <row r="20" customFormat="false" ht="27.75" hidden="false" customHeight="true" outlineLevel="0" collapsed="false">
      <c r="B20" s="231" t="s">
        <v>205</v>
      </c>
      <c r="C20" s="231" t="n">
        <v>43460</v>
      </c>
      <c r="D20" s="231" t="s">
        <v>254</v>
      </c>
      <c r="E20" s="231" t="s">
        <v>221</v>
      </c>
      <c r="F20" s="231" t="s">
        <v>173</v>
      </c>
      <c r="G20" s="184" t="n">
        <v>0.86</v>
      </c>
      <c r="H20" s="232" t="n">
        <v>1</v>
      </c>
      <c r="I20" s="233" t="n">
        <f aca="false">G20*H20</f>
        <v>0.86</v>
      </c>
      <c r="J20" s="234"/>
      <c r="K20" s="234"/>
    </row>
    <row r="21" customFormat="false" ht="29.25" hidden="false" customHeight="true" outlineLevel="0" collapsed="false">
      <c r="B21" s="235" t="s">
        <v>205</v>
      </c>
      <c r="C21" s="235" t="n">
        <v>43461</v>
      </c>
      <c r="D21" s="235" t="s">
        <v>255</v>
      </c>
      <c r="E21" s="235" t="s">
        <v>221</v>
      </c>
      <c r="F21" s="235" t="s">
        <v>173</v>
      </c>
      <c r="G21" s="236" t="n">
        <v>0.32</v>
      </c>
      <c r="H21" s="237" t="n">
        <v>1</v>
      </c>
      <c r="I21" s="238" t="n">
        <f aca="false">G21*H21</f>
        <v>0.32</v>
      </c>
      <c r="J21" s="234"/>
      <c r="K21" s="234"/>
    </row>
    <row r="22" customFormat="false" ht="27.75" hidden="false" customHeight="true" outlineLevel="0" collapsed="false">
      <c r="B22" s="231" t="s">
        <v>205</v>
      </c>
      <c r="C22" s="231" t="n">
        <v>43484</v>
      </c>
      <c r="D22" s="231" t="s">
        <v>256</v>
      </c>
      <c r="E22" s="231" t="s">
        <v>221</v>
      </c>
      <c r="F22" s="231" t="s">
        <v>173</v>
      </c>
      <c r="G22" s="184" t="n">
        <v>1.14</v>
      </c>
      <c r="H22" s="232" t="n">
        <v>1</v>
      </c>
      <c r="I22" s="233" t="n">
        <f aca="false">G22*H22</f>
        <v>1.14</v>
      </c>
      <c r="J22" s="234"/>
      <c r="K22" s="234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15.5"/>
    <col collapsed="false" customWidth="true" hidden="false" outlineLevel="0" max="3" min="3" style="19" width="16.26"/>
    <col collapsed="false" customWidth="true" hidden="false" outlineLevel="0" max="4" min="4" style="18" width="36.26"/>
    <col collapsed="false" customWidth="true" hidden="false" outlineLevel="0" max="5" min="5" style="18" width="36.88"/>
    <col collapsed="false" customWidth="true" hidden="false" outlineLevel="0" max="6" min="6" style="19" width="15.26"/>
    <col collapsed="false" customWidth="true" hidden="false" outlineLevel="0" max="7" min="7" style="18" width="9"/>
    <col collapsed="false" customWidth="true" hidden="false" outlineLevel="0" max="8" min="8" style="18" width="9.12"/>
    <col collapsed="false" customWidth="true" hidden="false" outlineLevel="0" max="9" min="9" style="18" width="12"/>
    <col collapsed="false" customWidth="true" hidden="false" outlineLevel="0" max="11" min="10" style="18" width="11.25"/>
    <col collapsed="false" customWidth="true" hidden="false" outlineLevel="0" max="12" min="12" style="18" width="10.38"/>
    <col collapsed="false" customWidth="true" hidden="false" outlineLevel="0" max="13" min="13" style="18" width="10.5"/>
    <col collapsed="false" customWidth="true" hidden="false" outlineLevel="0" max="14" min="14" style="18" width="12.5"/>
    <col collapsed="false" customWidth="true" hidden="false" outlineLevel="0" max="259" min="15" style="18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39" customFormat="true" ht="29.25" hidden="false" customHeight="true" outlineLevel="0" collapsed="false">
      <c r="B2" s="240" t="str">
        <f aca="false">"RELAÇÃO DE UNIDADES DO "&amp;'Valor da Contratação'!B7&amp;""</f>
        <v>RELAÇÃO DE UNIDADES DO POLO V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="18" customFormat="true" ht="15" hidden="false" customHeight="true" outlineLevel="0" collapsed="false"/>
    <row r="4" customFormat="false" ht="66.75" hidden="false" customHeight="true" outlineLevel="0" collapsed="false">
      <c r="B4" s="34" t="s">
        <v>257</v>
      </c>
      <c r="C4" s="34" t="s">
        <v>13</v>
      </c>
      <c r="D4" s="34" t="s">
        <v>41</v>
      </c>
      <c r="E4" s="34" t="s">
        <v>258</v>
      </c>
      <c r="F4" s="34" t="s">
        <v>259</v>
      </c>
      <c r="G4" s="34" t="s">
        <v>260</v>
      </c>
      <c r="H4" s="34" t="s">
        <v>71</v>
      </c>
      <c r="I4" s="34" t="s">
        <v>261</v>
      </c>
      <c r="J4" s="34" t="s">
        <v>262</v>
      </c>
      <c r="K4" s="34" t="s">
        <v>263</v>
      </c>
      <c r="L4" s="34" t="s">
        <v>264</v>
      </c>
      <c r="M4" s="34" t="s">
        <v>265</v>
      </c>
      <c r="N4" s="34" t="s">
        <v>266</v>
      </c>
    </row>
    <row r="5" customFormat="false" ht="18" hidden="false" customHeight="true" outlineLevel="0" collapsed="false">
      <c r="B5" s="241" t="s">
        <v>21</v>
      </c>
      <c r="C5" s="241" t="s">
        <v>21</v>
      </c>
      <c r="D5" s="152" t="s">
        <v>81</v>
      </c>
      <c r="E5" s="242" t="s">
        <v>267</v>
      </c>
      <c r="F5" s="67" t="n">
        <f aca="false">104*2/60</f>
        <v>3.46666666666667</v>
      </c>
      <c r="G5" s="243" t="n">
        <v>0.05</v>
      </c>
      <c r="H5" s="243" t="n">
        <f aca="false">HLOOKUP(G5,BDI!$C$19:$J$30,12,)</f>
        <v>0.3278</v>
      </c>
      <c r="I5" s="244" t="n">
        <v>241.15</v>
      </c>
      <c r="J5" s="244" t="n">
        <v>191.95</v>
      </c>
      <c r="K5" s="244" t="n">
        <v>38.5</v>
      </c>
      <c r="L5" s="244" t="n">
        <v>10.7</v>
      </c>
      <c r="M5" s="244" t="s">
        <v>268</v>
      </c>
      <c r="N5" s="244" t="s">
        <v>268</v>
      </c>
    </row>
    <row r="6" customFormat="false" ht="18" hidden="false" customHeight="true" outlineLevel="0" collapsed="false">
      <c r="B6" s="241" t="s">
        <v>21</v>
      </c>
      <c r="C6" s="241" t="s">
        <v>21</v>
      </c>
      <c r="D6" s="152" t="s">
        <v>83</v>
      </c>
      <c r="E6" s="242" t="s">
        <v>269</v>
      </c>
      <c r="F6" s="67" t="n">
        <f aca="false">2*2/60</f>
        <v>0.0666666666666667</v>
      </c>
      <c r="G6" s="243" t="n">
        <v>0.03</v>
      </c>
      <c r="H6" s="243" t="n">
        <f aca="false">HLOOKUP(G6,BDI!$C$19:$J$30,12,)</f>
        <v>0.2979</v>
      </c>
      <c r="I6" s="244" t="n">
        <v>2070.39</v>
      </c>
      <c r="J6" s="244" t="n">
        <v>1389.42</v>
      </c>
      <c r="K6" s="244" t="n">
        <v>680.97</v>
      </c>
      <c r="L6" s="244" t="n">
        <v>0</v>
      </c>
      <c r="M6" s="244" t="s">
        <v>270</v>
      </c>
      <c r="N6" s="244" t="s">
        <v>270</v>
      </c>
    </row>
    <row r="7" customFormat="false" ht="18" hidden="false" customHeight="true" outlineLevel="0" collapsed="false">
      <c r="B7" s="241" t="s">
        <v>21</v>
      </c>
      <c r="C7" s="241" t="s">
        <v>21</v>
      </c>
      <c r="D7" s="152" t="s">
        <v>85</v>
      </c>
      <c r="E7" s="245" t="s">
        <v>271</v>
      </c>
      <c r="F7" s="67" t="n">
        <f aca="false">20*2/60</f>
        <v>0.666666666666667</v>
      </c>
      <c r="G7" s="243" t="n">
        <v>0.05</v>
      </c>
      <c r="H7" s="243" t="n">
        <f aca="false">HLOOKUP(G7,BDI!$C$19:$J$30,12,)</f>
        <v>0.3278</v>
      </c>
      <c r="I7" s="244" t="n">
        <v>365.39</v>
      </c>
      <c r="J7" s="244" t="n">
        <v>315.19</v>
      </c>
      <c r="K7" s="244" t="n">
        <v>50.2</v>
      </c>
      <c r="L7" s="244" t="n">
        <v>0</v>
      </c>
      <c r="M7" s="244" t="s">
        <v>268</v>
      </c>
      <c r="N7" s="244" t="s">
        <v>268</v>
      </c>
    </row>
    <row r="8" customFormat="false" ht="18" hidden="false" customHeight="true" outlineLevel="0" collapsed="false">
      <c r="B8" s="241" t="s">
        <v>21</v>
      </c>
      <c r="C8" s="241" t="s">
        <v>21</v>
      </c>
      <c r="D8" s="152" t="s">
        <v>86</v>
      </c>
      <c r="E8" s="245" t="s">
        <v>272</v>
      </c>
      <c r="F8" s="67" t="n">
        <f aca="false">650/60</f>
        <v>10.8333333333333</v>
      </c>
      <c r="G8" s="243" t="n">
        <v>0.04</v>
      </c>
      <c r="H8" s="243" t="n">
        <f aca="false">HLOOKUP(G8,BDI!$C$19:$J$30,12,)</f>
        <v>0.3127</v>
      </c>
      <c r="I8" s="244" t="n">
        <v>2072.94</v>
      </c>
      <c r="J8" s="244" t="n">
        <v>742.17</v>
      </c>
      <c r="K8" s="244" t="n">
        <v>695</v>
      </c>
      <c r="L8" s="244" t="n">
        <v>635.77</v>
      </c>
      <c r="M8" s="244" t="s">
        <v>270</v>
      </c>
      <c r="N8" s="244" t="s">
        <v>270</v>
      </c>
    </row>
    <row r="9" customFormat="false" ht="18" hidden="false" customHeight="true" outlineLevel="0" collapsed="false">
      <c r="B9" s="241" t="s">
        <v>21</v>
      </c>
      <c r="C9" s="241" t="s">
        <v>21</v>
      </c>
      <c r="D9" s="152" t="s">
        <v>87</v>
      </c>
      <c r="E9" s="245" t="s">
        <v>273</v>
      </c>
      <c r="F9" s="67" t="n">
        <f aca="false">8*2/60</f>
        <v>0.266666666666667</v>
      </c>
      <c r="G9" s="243" t="n">
        <v>0.03</v>
      </c>
      <c r="H9" s="243" t="n">
        <f aca="false">HLOOKUP(G9,BDI!$C$19:$J$30,12,)</f>
        <v>0.2979</v>
      </c>
      <c r="I9" s="244" t="n">
        <v>3639.25</v>
      </c>
      <c r="J9" s="244" t="n">
        <v>319.46</v>
      </c>
      <c r="K9" s="244" t="n">
        <v>507.75</v>
      </c>
      <c r="L9" s="244" t="n">
        <v>2812.04</v>
      </c>
      <c r="M9" s="244" t="s">
        <v>270</v>
      </c>
      <c r="N9" s="244" t="s">
        <v>270</v>
      </c>
    </row>
    <row r="10" customFormat="false" ht="18" hidden="false" customHeight="true" outlineLevel="0" collapsed="false">
      <c r="B10" s="241" t="s">
        <v>21</v>
      </c>
      <c r="C10" s="241" t="s">
        <v>21</v>
      </c>
      <c r="D10" s="152" t="s">
        <v>89</v>
      </c>
      <c r="E10" s="245" t="s">
        <v>274</v>
      </c>
      <c r="F10" s="67" t="n">
        <f aca="false">53*2/60</f>
        <v>1.76666666666667</v>
      </c>
      <c r="G10" s="243" t="n">
        <v>0.05</v>
      </c>
      <c r="H10" s="243" t="n">
        <f aca="false">HLOOKUP(G10,BDI!$C$19:$J$30,12,)</f>
        <v>0.3278</v>
      </c>
      <c r="I10" s="244" t="n">
        <v>334.4</v>
      </c>
      <c r="J10" s="244" t="n">
        <v>296</v>
      </c>
      <c r="K10" s="244" t="n">
        <v>38.4</v>
      </c>
      <c r="L10" s="244" t="n">
        <v>0</v>
      </c>
      <c r="M10" s="244" t="s">
        <v>268</v>
      </c>
      <c r="N10" s="244" t="s">
        <v>268</v>
      </c>
    </row>
    <row r="11" customFormat="false" ht="18" hidden="false" customHeight="true" outlineLevel="0" collapsed="false">
      <c r="B11" s="241" t="s">
        <v>21</v>
      </c>
      <c r="C11" s="241" t="s">
        <v>21</v>
      </c>
      <c r="D11" s="152" t="s">
        <v>90</v>
      </c>
      <c r="E11" s="245" t="s">
        <v>275</v>
      </c>
      <c r="F11" s="67" t="n">
        <f aca="false">218*2/60</f>
        <v>7.26666666666667</v>
      </c>
      <c r="G11" s="243" t="n">
        <v>0.02</v>
      </c>
      <c r="H11" s="243" t="n">
        <f aca="false">HLOOKUP(G11,BDI!$C$19:$J$30,12,)</f>
        <v>0.2835</v>
      </c>
      <c r="I11" s="244" t="n">
        <v>3202.15</v>
      </c>
      <c r="J11" s="244" t="n">
        <v>1561.81</v>
      </c>
      <c r="K11" s="244" t="n">
        <v>732</v>
      </c>
      <c r="L11" s="244" t="n">
        <v>908.34</v>
      </c>
      <c r="M11" s="244" t="s">
        <v>268</v>
      </c>
      <c r="N11" s="244" t="s">
        <v>270</v>
      </c>
    </row>
    <row r="12" customFormat="false" ht="18" hidden="false" customHeight="true" outlineLevel="0" collapsed="false">
      <c r="B12" s="241" t="s">
        <v>21</v>
      </c>
      <c r="C12" s="241" t="s">
        <v>21</v>
      </c>
      <c r="D12" s="152" t="s">
        <v>92</v>
      </c>
      <c r="E12" s="245" t="s">
        <v>276</v>
      </c>
      <c r="F12" s="67" t="n">
        <f aca="false">18*2/60</f>
        <v>0.6</v>
      </c>
      <c r="G12" s="243" t="n">
        <v>0.02</v>
      </c>
      <c r="H12" s="243" t="n">
        <f aca="false">HLOOKUP(G12,BDI!$C$19:$J$30,12,)</f>
        <v>0.2835</v>
      </c>
      <c r="I12" s="244" t="n">
        <v>529.71</v>
      </c>
      <c r="J12" s="244" t="n">
        <v>482.71</v>
      </c>
      <c r="K12" s="244" t="n">
        <v>0</v>
      </c>
      <c r="L12" s="244" t="n">
        <v>47</v>
      </c>
      <c r="M12" s="244" t="s">
        <v>268</v>
      </c>
      <c r="N12" s="244" t="s">
        <v>268</v>
      </c>
    </row>
    <row r="13" customFormat="false" ht="18" hidden="false" customHeight="true" outlineLevel="0" collapsed="false">
      <c r="B13" s="241" t="s">
        <v>21</v>
      </c>
      <c r="C13" s="241" t="s">
        <v>21</v>
      </c>
      <c r="D13" s="152" t="s">
        <v>94</v>
      </c>
      <c r="E13" s="245" t="s">
        <v>277</v>
      </c>
      <c r="F13" s="67" t="n">
        <f aca="false">8*2/60</f>
        <v>0.266666666666667</v>
      </c>
      <c r="G13" s="243" t="n">
        <v>0.025</v>
      </c>
      <c r="H13" s="243" t="n">
        <f aca="false">HLOOKUP(G13,BDI!$C$19:$J$30,12,)</f>
        <v>0.2907</v>
      </c>
      <c r="I13" s="244" t="n">
        <v>523.97</v>
      </c>
      <c r="J13" s="244" t="n">
        <v>460.97</v>
      </c>
      <c r="K13" s="244" t="n">
        <v>63</v>
      </c>
      <c r="L13" s="244" t="n">
        <v>0</v>
      </c>
      <c r="M13" s="244" t="s">
        <v>268</v>
      </c>
      <c r="N13" s="244" t="s">
        <v>268</v>
      </c>
    </row>
    <row r="14" customFormat="false" ht="18" hidden="false" customHeight="true" outlineLevel="0" collapsed="false">
      <c r="B14" s="241" t="s">
        <v>21</v>
      </c>
      <c r="C14" s="241" t="s">
        <v>21</v>
      </c>
      <c r="D14" s="152" t="s">
        <v>96</v>
      </c>
      <c r="E14" s="245" t="s">
        <v>278</v>
      </c>
      <c r="F14" s="67" t="n">
        <f aca="false">42*2/60</f>
        <v>1.4</v>
      </c>
      <c r="G14" s="243" t="n">
        <v>0.02</v>
      </c>
      <c r="H14" s="243" t="n">
        <f aca="false">HLOOKUP(G14,BDI!$C$19:$J$30,12,)</f>
        <v>0.2835</v>
      </c>
      <c r="I14" s="244" t="n">
        <v>347.21</v>
      </c>
      <c r="J14" s="244" t="n">
        <v>313.21</v>
      </c>
      <c r="K14" s="244" t="n">
        <v>34</v>
      </c>
      <c r="L14" s="244" t="n">
        <v>0</v>
      </c>
      <c r="M14" s="244" t="s">
        <v>268</v>
      </c>
      <c r="N14" s="244" t="s">
        <v>268</v>
      </c>
    </row>
    <row r="15" customFormat="false" ht="18" hidden="false" customHeight="true" outlineLevel="0" collapsed="false">
      <c r="B15" s="241" t="s">
        <v>21</v>
      </c>
      <c r="C15" s="241" t="s">
        <v>21</v>
      </c>
      <c r="D15" s="152" t="s">
        <v>97</v>
      </c>
      <c r="E15" s="245" t="s">
        <v>279</v>
      </c>
      <c r="F15" s="67" t="n">
        <f aca="false">18*2/60</f>
        <v>0.6</v>
      </c>
      <c r="G15" s="243" t="n">
        <v>0.02</v>
      </c>
      <c r="H15" s="243" t="n">
        <f aca="false">HLOOKUP(G15,BDI!$C$19:$J$30,12,)</f>
        <v>0.2835</v>
      </c>
      <c r="I15" s="244" t="n">
        <v>264.93</v>
      </c>
      <c r="J15" s="244" t="n">
        <v>70.93</v>
      </c>
      <c r="K15" s="244" t="n">
        <v>194</v>
      </c>
      <c r="L15" s="244" t="n">
        <v>0</v>
      </c>
      <c r="M15" s="244" t="s">
        <v>268</v>
      </c>
      <c r="N15" s="244" t="s">
        <v>268</v>
      </c>
    </row>
    <row r="16" customFormat="false" ht="18" hidden="false" customHeight="true" outlineLevel="0" collapsed="false">
      <c r="B16" s="241" t="s">
        <v>21</v>
      </c>
      <c r="C16" s="241" t="s">
        <v>21</v>
      </c>
      <c r="D16" s="152" t="s">
        <v>98</v>
      </c>
      <c r="E16" s="245" t="s">
        <v>280</v>
      </c>
      <c r="F16" s="67" t="n">
        <f aca="false">7*2/60</f>
        <v>0.233333333333333</v>
      </c>
      <c r="G16" s="243" t="n">
        <v>0.03</v>
      </c>
      <c r="H16" s="243" t="n">
        <f aca="false">HLOOKUP(G16,BDI!$C$19:$J$30,12,)</f>
        <v>0.2979</v>
      </c>
      <c r="I16" s="244" t="n">
        <v>4300.85</v>
      </c>
      <c r="J16" s="244" t="n">
        <v>150</v>
      </c>
      <c r="K16" s="244" t="n">
        <v>1946.91</v>
      </c>
      <c r="L16" s="244" t="n">
        <v>2203.94</v>
      </c>
      <c r="M16" s="244" t="s">
        <v>268</v>
      </c>
      <c r="N16" s="244" t="s">
        <v>270</v>
      </c>
    </row>
    <row r="17" customFormat="false" ht="18" hidden="false" customHeight="true" outlineLevel="0" collapsed="false">
      <c r="B17" s="241" t="s">
        <v>21</v>
      </c>
      <c r="C17" s="241" t="s">
        <v>21</v>
      </c>
      <c r="D17" s="152" t="s">
        <v>99</v>
      </c>
      <c r="E17" s="245" t="s">
        <v>281</v>
      </c>
      <c r="F17" s="67" t="n">
        <v>0</v>
      </c>
      <c r="G17" s="243" t="n">
        <v>0.03</v>
      </c>
      <c r="H17" s="243" t="n">
        <f aca="false">HLOOKUP(G17,BDI!$C$19:$J$30,12,)</f>
        <v>0.2979</v>
      </c>
      <c r="I17" s="244" t="n">
        <v>3428.79</v>
      </c>
      <c r="J17" s="244" t="n">
        <v>2957.89</v>
      </c>
      <c r="K17" s="244" t="n">
        <v>470.9</v>
      </c>
      <c r="L17" s="244" t="n">
        <v>0</v>
      </c>
      <c r="M17" s="244" t="s">
        <v>270</v>
      </c>
      <c r="N17" s="244" t="s">
        <v>270</v>
      </c>
    </row>
    <row r="18" customFormat="false" ht="18" hidden="false" customHeight="true" outlineLevel="0" collapsed="false">
      <c r="B18" s="241" t="s">
        <v>21</v>
      </c>
      <c r="C18" s="241" t="s">
        <v>21</v>
      </c>
      <c r="D18" s="152" t="s">
        <v>100</v>
      </c>
      <c r="E18" s="245" t="s">
        <v>282</v>
      </c>
      <c r="F18" s="67" t="n">
        <f aca="false">4*2/60</f>
        <v>0.133333333333333</v>
      </c>
      <c r="G18" s="243" t="n">
        <v>0.03</v>
      </c>
      <c r="H18" s="243" t="n">
        <f aca="false">HLOOKUP(G18,BDI!$C$19:$J$30,12,)</f>
        <v>0.2979</v>
      </c>
      <c r="I18" s="244" t="n">
        <v>232.69</v>
      </c>
      <c r="J18" s="244" t="n">
        <v>201.69</v>
      </c>
      <c r="K18" s="244" t="n">
        <v>31</v>
      </c>
      <c r="L18" s="244" t="n">
        <v>0</v>
      </c>
      <c r="M18" s="244" t="s">
        <v>268</v>
      </c>
      <c r="N18" s="244" t="s">
        <v>268</v>
      </c>
    </row>
    <row r="19" customFormat="false" ht="18" hidden="false" customHeight="true" outlineLevel="0" collapsed="false">
      <c r="B19" s="241" t="s">
        <v>21</v>
      </c>
      <c r="C19" s="241" t="s">
        <v>21</v>
      </c>
      <c r="D19" s="152" t="s">
        <v>101</v>
      </c>
      <c r="E19" s="245" t="s">
        <v>283</v>
      </c>
      <c r="F19" s="67" t="n">
        <f aca="false">9*2/60</f>
        <v>0.3</v>
      </c>
      <c r="G19" s="243" t="n">
        <v>0.03</v>
      </c>
      <c r="H19" s="243" t="n">
        <f aca="false">HLOOKUP(G19,BDI!$C$19:$J$30,12,)</f>
        <v>0.2979</v>
      </c>
      <c r="I19" s="244" t="n">
        <v>4818.5</v>
      </c>
      <c r="J19" s="244" t="n">
        <v>4139.1</v>
      </c>
      <c r="K19" s="244" t="n">
        <v>679.4</v>
      </c>
      <c r="L19" s="244" t="n">
        <v>0</v>
      </c>
      <c r="M19" s="244" t="s">
        <v>270</v>
      </c>
      <c r="N19" s="244" t="s">
        <v>270</v>
      </c>
    </row>
    <row r="20" customFormat="false" ht="18" hidden="false" customHeight="true" outlineLevel="0" collapsed="false">
      <c r="B20" s="241" t="s">
        <v>22</v>
      </c>
      <c r="C20" s="241" t="s">
        <v>22</v>
      </c>
      <c r="D20" s="152" t="s">
        <v>141</v>
      </c>
      <c r="E20" s="245" t="s">
        <v>284</v>
      </c>
      <c r="F20" s="67" t="n">
        <f aca="false">37*2/60</f>
        <v>1.23333333333333</v>
      </c>
      <c r="G20" s="243" t="n">
        <v>0.03</v>
      </c>
      <c r="H20" s="243" t="n">
        <f aca="false">HLOOKUP(G20,BDI!$C$19:$J$30,12,)</f>
        <v>0.2979</v>
      </c>
      <c r="I20" s="244" t="n">
        <v>1502.07</v>
      </c>
      <c r="J20" s="244" t="n">
        <v>779.2</v>
      </c>
      <c r="K20" s="244" t="n">
        <v>490.59</v>
      </c>
      <c r="L20" s="244" t="n">
        <v>232.28</v>
      </c>
      <c r="M20" s="244" t="s">
        <v>270</v>
      </c>
      <c r="N20" s="244" t="s">
        <v>270</v>
      </c>
    </row>
    <row r="21" customFormat="false" ht="18" hidden="false" customHeight="true" outlineLevel="0" collapsed="false">
      <c r="B21" s="241" t="s">
        <v>22</v>
      </c>
      <c r="C21" s="241" t="s">
        <v>22</v>
      </c>
      <c r="D21" s="152" t="s">
        <v>142</v>
      </c>
      <c r="E21" s="245" t="s">
        <v>285</v>
      </c>
      <c r="F21" s="67" t="n">
        <v>2.4</v>
      </c>
      <c r="G21" s="243" t="n">
        <v>0.04</v>
      </c>
      <c r="H21" s="243" t="n">
        <f aca="false">HLOOKUP(G21,BDI!$C$19:$J$30,12,)</f>
        <v>0.3127</v>
      </c>
      <c r="I21" s="244" t="n">
        <v>968.94</v>
      </c>
      <c r="J21" s="244" t="n">
        <v>441.59</v>
      </c>
      <c r="K21" s="244" t="n">
        <v>41.54</v>
      </c>
      <c r="L21" s="244" t="n">
        <v>485.81</v>
      </c>
      <c r="M21" s="244" t="s">
        <v>268</v>
      </c>
      <c r="N21" s="244" t="s">
        <v>270</v>
      </c>
    </row>
    <row r="22" customFormat="false" ht="18" hidden="false" customHeight="true" outlineLevel="0" collapsed="false">
      <c r="B22" s="241" t="s">
        <v>22</v>
      </c>
      <c r="C22" s="241" t="s">
        <v>22</v>
      </c>
      <c r="D22" s="152" t="s">
        <v>143</v>
      </c>
      <c r="E22" s="245" t="s">
        <v>286</v>
      </c>
      <c r="F22" s="67" t="n">
        <f aca="false">57*2/60</f>
        <v>1.9</v>
      </c>
      <c r="G22" s="243" t="n">
        <v>0.03</v>
      </c>
      <c r="H22" s="243" t="n">
        <f aca="false">HLOOKUP(G22,BDI!$C$19:$J$30,12,)</f>
        <v>0.2979</v>
      </c>
      <c r="I22" s="244" t="n">
        <v>334.4</v>
      </c>
      <c r="J22" s="244" t="n">
        <v>296</v>
      </c>
      <c r="K22" s="244" t="n">
        <v>38.4</v>
      </c>
      <c r="L22" s="244" t="n">
        <v>0</v>
      </c>
      <c r="M22" s="244" t="s">
        <v>268</v>
      </c>
      <c r="N22" s="244" t="s">
        <v>268</v>
      </c>
    </row>
    <row r="23" customFormat="false" ht="18" hidden="false" customHeight="true" outlineLevel="0" collapsed="false">
      <c r="B23" s="241" t="s">
        <v>22</v>
      </c>
      <c r="C23" s="241" t="s">
        <v>22</v>
      </c>
      <c r="D23" s="152" t="s">
        <v>144</v>
      </c>
      <c r="E23" s="242" t="s">
        <v>287</v>
      </c>
      <c r="F23" s="67" t="n">
        <f aca="false">24*2/60</f>
        <v>0.8</v>
      </c>
      <c r="G23" s="243" t="n">
        <v>0.04</v>
      </c>
      <c r="H23" s="243" t="n">
        <f aca="false">HLOOKUP(G23,BDI!$C$19:$J$30,12,)</f>
        <v>0.3127</v>
      </c>
      <c r="I23" s="244" t="n">
        <v>334.4</v>
      </c>
      <c r="J23" s="244" t="n">
        <v>296</v>
      </c>
      <c r="K23" s="244" t="n">
        <v>38.4</v>
      </c>
      <c r="L23" s="244" t="n">
        <v>0</v>
      </c>
      <c r="M23" s="244" t="s">
        <v>268</v>
      </c>
      <c r="N23" s="244" t="s">
        <v>268</v>
      </c>
    </row>
    <row r="24" customFormat="false" ht="18" hidden="false" customHeight="true" outlineLevel="0" collapsed="false">
      <c r="B24" s="241" t="s">
        <v>22</v>
      </c>
      <c r="C24" s="241" t="s">
        <v>22</v>
      </c>
      <c r="D24" s="152" t="s">
        <v>145</v>
      </c>
      <c r="E24" s="245" t="s">
        <v>288</v>
      </c>
      <c r="F24" s="67" t="n">
        <f aca="false">17*2/60</f>
        <v>0.566666666666667</v>
      </c>
      <c r="G24" s="243" t="n">
        <v>0.05</v>
      </c>
      <c r="H24" s="243" t="n">
        <f aca="false">HLOOKUP(G24,BDI!$C$19:$J$30,12,)</f>
        <v>0.3278</v>
      </c>
      <c r="I24" s="244" t="n">
        <v>320.7</v>
      </c>
      <c r="J24" s="244" t="n">
        <v>255.98</v>
      </c>
      <c r="K24" s="244" t="n">
        <v>64.72</v>
      </c>
      <c r="L24" s="244" t="n">
        <v>0</v>
      </c>
      <c r="M24" s="244" t="s">
        <v>268</v>
      </c>
      <c r="N24" s="244" t="s">
        <v>268</v>
      </c>
    </row>
    <row r="25" customFormat="false" ht="18" hidden="false" customHeight="true" outlineLevel="0" collapsed="false">
      <c r="B25" s="241" t="s">
        <v>22</v>
      </c>
      <c r="C25" s="241" t="s">
        <v>22</v>
      </c>
      <c r="D25" s="152" t="s">
        <v>146</v>
      </c>
      <c r="E25" s="245" t="s">
        <v>289</v>
      </c>
      <c r="F25" s="67" t="n">
        <f aca="false">72*2/60</f>
        <v>2.4</v>
      </c>
      <c r="G25" s="243" t="n">
        <v>0.05</v>
      </c>
      <c r="H25" s="243" t="n">
        <f aca="false">HLOOKUP(G25,BDI!$C$19:$J$30,12,)</f>
        <v>0.3278</v>
      </c>
      <c r="I25" s="244" t="n">
        <v>855.4</v>
      </c>
      <c r="J25" s="244" t="n">
        <v>626.23</v>
      </c>
      <c r="K25" s="244" t="n">
        <v>229.17</v>
      </c>
      <c r="L25" s="244" t="n">
        <v>0</v>
      </c>
      <c r="M25" s="244" t="s">
        <v>268</v>
      </c>
      <c r="N25" s="244" t="s">
        <v>268</v>
      </c>
    </row>
    <row r="26" customFormat="false" ht="18" hidden="false" customHeight="true" outlineLevel="0" collapsed="false">
      <c r="B26" s="241" t="s">
        <v>22</v>
      </c>
      <c r="C26" s="241" t="s">
        <v>22</v>
      </c>
      <c r="D26" s="152" t="s">
        <v>147</v>
      </c>
      <c r="E26" s="245" t="s">
        <v>290</v>
      </c>
      <c r="F26" s="67" t="n">
        <f aca="false">53*2/60</f>
        <v>1.76666666666667</v>
      </c>
      <c r="G26" s="243" t="n">
        <v>0.03</v>
      </c>
      <c r="H26" s="243" t="n">
        <f aca="false">HLOOKUP(G26,BDI!$C$19:$J$30,12,)</f>
        <v>0.2979</v>
      </c>
      <c r="I26" s="244" t="n">
        <v>334.4</v>
      </c>
      <c r="J26" s="244" t="n">
        <v>296</v>
      </c>
      <c r="K26" s="244" t="n">
        <v>38.4</v>
      </c>
      <c r="L26" s="244" t="n">
        <v>0</v>
      </c>
      <c r="M26" s="244" t="s">
        <v>268</v>
      </c>
      <c r="N26" s="244" t="s">
        <v>268</v>
      </c>
    </row>
    <row r="27" customFormat="false" ht="18" hidden="false" customHeight="true" outlineLevel="0" collapsed="false">
      <c r="B27" s="241" t="s">
        <v>22</v>
      </c>
      <c r="C27" s="241" t="s">
        <v>22</v>
      </c>
      <c r="D27" s="152" t="s">
        <v>148</v>
      </c>
      <c r="E27" s="245" t="s">
        <v>291</v>
      </c>
      <c r="F27" s="67" t="n">
        <f aca="false">51*2/60</f>
        <v>1.7</v>
      </c>
      <c r="G27" s="243" t="n">
        <v>0.02</v>
      </c>
      <c r="H27" s="243" t="n">
        <f aca="false">HLOOKUP(G27,BDI!$C$19:$J$30,12,)</f>
        <v>0.2835</v>
      </c>
      <c r="I27" s="244" t="n">
        <v>3534</v>
      </c>
      <c r="J27" s="244" t="n">
        <v>1583.57</v>
      </c>
      <c r="K27" s="244" t="n">
        <v>673.64</v>
      </c>
      <c r="L27" s="244" t="n">
        <v>1276.79</v>
      </c>
      <c r="M27" s="244" t="s">
        <v>268</v>
      </c>
      <c r="N27" s="244" t="s">
        <v>270</v>
      </c>
    </row>
    <row r="28" customFormat="false" ht="18" hidden="false" customHeight="true" outlineLevel="0" collapsed="false">
      <c r="B28" s="241" t="s">
        <v>22</v>
      </c>
      <c r="C28" s="241" t="s">
        <v>22</v>
      </c>
      <c r="D28" s="152" t="s">
        <v>149</v>
      </c>
      <c r="E28" s="242" t="s">
        <v>292</v>
      </c>
      <c r="F28" s="67" t="n">
        <f aca="false">24*2/60</f>
        <v>0.8</v>
      </c>
      <c r="G28" s="243" t="n">
        <v>0.03</v>
      </c>
      <c r="H28" s="243" t="n">
        <f aca="false">HLOOKUP(G28,BDI!$C$19:$J$30,12,)</f>
        <v>0.2979</v>
      </c>
      <c r="I28" s="244" t="n">
        <v>448.68</v>
      </c>
      <c r="J28" s="244" t="n">
        <v>341.03</v>
      </c>
      <c r="K28" s="244" t="n">
        <v>107.65</v>
      </c>
      <c r="L28" s="244" t="n">
        <v>0</v>
      </c>
      <c r="M28" s="244" t="s">
        <v>268</v>
      </c>
      <c r="N28" s="244" t="s">
        <v>268</v>
      </c>
    </row>
    <row r="29" customFormat="false" ht="18" hidden="false" customHeight="true" outlineLevel="0" collapsed="false">
      <c r="B29" s="241" t="s">
        <v>22</v>
      </c>
      <c r="C29" s="241" t="s">
        <v>22</v>
      </c>
      <c r="D29" s="152" t="s">
        <v>150</v>
      </c>
      <c r="E29" s="245" t="s">
        <v>293</v>
      </c>
      <c r="F29" s="67" t="n">
        <f aca="false">22/60</f>
        <v>0.366666666666667</v>
      </c>
      <c r="G29" s="243" t="n">
        <v>0.04</v>
      </c>
      <c r="H29" s="243" t="n">
        <f aca="false">HLOOKUP(G29,BDI!$C$19:$J$30,12,)</f>
        <v>0.3127</v>
      </c>
      <c r="I29" s="244" t="n">
        <v>2017.43</v>
      </c>
      <c r="J29" s="244" t="n">
        <v>205.51</v>
      </c>
      <c r="K29" s="244" t="n">
        <v>1811.92</v>
      </c>
      <c r="L29" s="244" t="n">
        <v>0</v>
      </c>
      <c r="M29" s="244" t="s">
        <v>270</v>
      </c>
      <c r="N29" s="244" t="s">
        <v>268</v>
      </c>
    </row>
    <row r="30" customFormat="false" ht="18" hidden="false" customHeight="true" outlineLevel="0" collapsed="false">
      <c r="B30" s="241" t="s">
        <v>22</v>
      </c>
      <c r="C30" s="241" t="s">
        <v>22</v>
      </c>
      <c r="D30" s="152" t="s">
        <v>151</v>
      </c>
      <c r="E30" s="245" t="s">
        <v>294</v>
      </c>
      <c r="F30" s="67" t="n">
        <v>0</v>
      </c>
      <c r="G30" s="243" t="n">
        <v>0.04</v>
      </c>
      <c r="H30" s="243" t="n">
        <f aca="false">HLOOKUP(G30,BDI!$C$19:$J$30,12,)</f>
        <v>0.3127</v>
      </c>
      <c r="I30" s="244" t="n">
        <v>3365.38</v>
      </c>
      <c r="J30" s="244" t="n">
        <v>2625.54</v>
      </c>
      <c r="K30" s="244" t="n">
        <v>739.84</v>
      </c>
      <c r="L30" s="244" t="n">
        <v>0</v>
      </c>
      <c r="M30" s="244" t="s">
        <v>268</v>
      </c>
      <c r="N30" s="244" t="s">
        <v>270</v>
      </c>
    </row>
    <row r="31" customFormat="false" ht="18" hidden="false" customHeight="true" outlineLevel="0" collapsed="false">
      <c r="B31" s="241" t="s">
        <v>21</v>
      </c>
      <c r="C31" s="241" t="s">
        <v>22</v>
      </c>
      <c r="D31" s="152" t="s">
        <v>152</v>
      </c>
      <c r="E31" s="245" t="s">
        <v>295</v>
      </c>
      <c r="F31" s="67" t="n">
        <f aca="false">86*2/60</f>
        <v>2.86666666666667</v>
      </c>
      <c r="G31" s="243" t="n">
        <v>0.05</v>
      </c>
      <c r="H31" s="243" t="n">
        <f aca="false">HLOOKUP(G31,BDI!$C$19:$J$30,12,)</f>
        <v>0.3278</v>
      </c>
      <c r="I31" s="244" t="n">
        <v>460.62</v>
      </c>
      <c r="J31" s="244" t="n">
        <v>386.62</v>
      </c>
      <c r="K31" s="244" t="n">
        <v>74</v>
      </c>
      <c r="L31" s="244" t="n">
        <v>0</v>
      </c>
      <c r="M31" s="244" t="s">
        <v>268</v>
      </c>
      <c r="N31" s="244" t="s">
        <v>268</v>
      </c>
    </row>
    <row r="32" customFormat="false" ht="18" hidden="false" customHeight="true" outlineLevel="0" collapsed="false">
      <c r="B32" s="241" t="s">
        <v>21</v>
      </c>
      <c r="C32" s="241" t="s">
        <v>22</v>
      </c>
      <c r="D32" s="152" t="s">
        <v>153</v>
      </c>
      <c r="E32" s="245" t="s">
        <v>296</v>
      </c>
      <c r="F32" s="67" t="n">
        <f aca="false">281/60</f>
        <v>4.68333333333333</v>
      </c>
      <c r="G32" s="243" t="n">
        <v>0.03</v>
      </c>
      <c r="H32" s="243" t="n">
        <f aca="false">HLOOKUP(G32,BDI!$C$19:$J$30,12,)</f>
        <v>0.2979</v>
      </c>
      <c r="I32" s="244" t="n">
        <v>296.9</v>
      </c>
      <c r="J32" s="244" t="n">
        <v>246.9</v>
      </c>
      <c r="K32" s="244" t="n">
        <v>50</v>
      </c>
      <c r="L32" s="244" t="n">
        <v>0</v>
      </c>
      <c r="M32" s="244" t="s">
        <v>268</v>
      </c>
      <c r="N32" s="244" t="s">
        <v>268</v>
      </c>
    </row>
    <row r="33" customFormat="false" ht="18" hidden="false" customHeight="true" outlineLevel="0" collapsed="false"/>
    <row r="34" customFormat="false" ht="18" hidden="false" customHeight="true" outlineLevel="0" collapsed="false"/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6" width="11.62"/>
    <col collapsed="false" customWidth="true" hidden="false" outlineLevel="0" max="3" min="3" style="246" width="42.25"/>
    <col collapsed="false" customWidth="true" hidden="false" outlineLevel="0" max="4" min="4" style="54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7" t="s">
        <v>297</v>
      </c>
      <c r="C2" s="247"/>
      <c r="D2" s="247"/>
      <c r="E2" s="247"/>
      <c r="F2" s="247"/>
      <c r="G2" s="247"/>
      <c r="H2" s="247"/>
      <c r="I2" s="247"/>
      <c r="J2" s="247"/>
    </row>
    <row r="3" customFormat="false" ht="19.5" hidden="false" customHeight="true" outlineLevel="0" collapsed="false">
      <c r="B3" s="248" t="s">
        <v>3</v>
      </c>
      <c r="C3" s="248"/>
      <c r="D3" s="248"/>
      <c r="E3" s="248"/>
      <c r="F3" s="248"/>
      <c r="G3" s="248"/>
      <c r="H3" s="248"/>
      <c r="I3" s="248"/>
      <c r="J3" s="248"/>
    </row>
    <row r="4" customFormat="false" ht="15" hidden="false" customHeight="true" outlineLevel="0" collapsed="false">
      <c r="B4" s="249"/>
      <c r="C4" s="249"/>
      <c r="D4" s="22"/>
    </row>
    <row r="5" customFormat="false" ht="15" hidden="false" customHeight="true" outlineLevel="0" collapsed="false">
      <c r="B5" s="250" t="s">
        <v>298</v>
      </c>
      <c r="C5" s="250"/>
      <c r="D5" s="250"/>
      <c r="E5" s="250"/>
      <c r="F5" s="251"/>
      <c r="G5" s="251"/>
      <c r="H5" s="251"/>
      <c r="I5" s="251"/>
      <c r="J5" s="252"/>
    </row>
    <row r="6" customFormat="false" ht="15" hidden="false" customHeight="true" outlineLevel="0" collapsed="false">
      <c r="B6" s="253"/>
      <c r="C6" s="2"/>
      <c r="D6" s="136"/>
      <c r="E6" s="136"/>
      <c r="J6" s="254"/>
    </row>
    <row r="7" customFormat="false" ht="15" hidden="false" customHeight="true" outlineLevel="0" collapsed="false">
      <c r="B7" s="255" t="s">
        <v>299</v>
      </c>
      <c r="C7" s="255"/>
      <c r="D7" s="255"/>
      <c r="E7" s="255"/>
      <c r="F7" s="255"/>
      <c r="G7" s="255"/>
      <c r="H7" s="255"/>
      <c r="I7" s="255"/>
      <c r="J7" s="255"/>
    </row>
    <row r="8" customFormat="false" ht="15" hidden="false" customHeight="true" outlineLevel="0" collapsed="false">
      <c r="B8" s="256"/>
      <c r="C8" s="257"/>
      <c r="D8" s="136"/>
      <c r="E8" s="136"/>
      <c r="J8" s="254"/>
    </row>
    <row r="9" customFormat="false" ht="15" hidden="false" customHeight="true" outlineLevel="0" collapsed="false">
      <c r="B9" s="258" t="s">
        <v>300</v>
      </c>
      <c r="C9" s="258"/>
      <c r="D9" s="258"/>
      <c r="E9" s="258"/>
      <c r="F9" s="258"/>
      <c r="G9" s="258"/>
      <c r="H9" s="258"/>
      <c r="I9" s="258"/>
      <c r="J9" s="258"/>
    </row>
    <row r="10" customFormat="false" ht="15" hidden="false" customHeight="true" outlineLevel="0" collapsed="false">
      <c r="B10" s="259" t="s">
        <v>301</v>
      </c>
      <c r="C10" s="259"/>
      <c r="D10" s="259"/>
      <c r="E10" s="259"/>
      <c r="F10" s="259"/>
      <c r="G10" s="259"/>
      <c r="H10" s="259"/>
      <c r="I10" s="259"/>
      <c r="J10" s="259"/>
    </row>
    <row r="11" customFormat="false" ht="15" hidden="false" customHeight="true" outlineLevel="0" collapsed="false">
      <c r="B11" s="259" t="s">
        <v>302</v>
      </c>
      <c r="C11" s="259"/>
      <c r="D11" s="259"/>
      <c r="E11" s="259"/>
      <c r="F11" s="259"/>
      <c r="G11" s="259"/>
      <c r="H11" s="259"/>
      <c r="I11" s="259"/>
      <c r="J11" s="259"/>
    </row>
    <row r="12" customFormat="false" ht="15" hidden="false" customHeight="true" outlineLevel="0" collapsed="false">
      <c r="B12" s="259" t="s">
        <v>303</v>
      </c>
      <c r="C12" s="259"/>
      <c r="D12" s="259"/>
      <c r="E12" s="259"/>
      <c r="F12" s="259"/>
      <c r="G12" s="259"/>
      <c r="H12" s="259"/>
      <c r="I12" s="259"/>
      <c r="J12" s="259"/>
    </row>
    <row r="13" customFormat="false" ht="15" hidden="false" customHeight="true" outlineLevel="0" collapsed="false">
      <c r="B13" s="259" t="s">
        <v>304</v>
      </c>
      <c r="C13" s="259"/>
      <c r="D13" s="259"/>
      <c r="E13" s="259"/>
      <c r="F13" s="259"/>
      <c r="G13" s="259"/>
      <c r="H13" s="259"/>
      <c r="I13" s="259"/>
      <c r="J13" s="259"/>
    </row>
    <row r="14" customFormat="false" ht="15" hidden="false" customHeight="true" outlineLevel="0" collapsed="false">
      <c r="B14" s="259" t="s">
        <v>305</v>
      </c>
      <c r="C14" s="259"/>
      <c r="D14" s="259"/>
      <c r="E14" s="259"/>
      <c r="F14" s="259"/>
      <c r="G14" s="259"/>
      <c r="H14" s="259"/>
      <c r="I14" s="259"/>
      <c r="J14" s="259"/>
    </row>
    <row r="15" customFormat="false" ht="15" hidden="false" customHeight="true" outlineLevel="0" collapsed="false">
      <c r="B15" s="259" t="s">
        <v>306</v>
      </c>
      <c r="C15" s="259"/>
      <c r="D15" s="259"/>
      <c r="E15" s="259"/>
      <c r="F15" s="259"/>
      <c r="G15" s="259"/>
      <c r="H15" s="259"/>
      <c r="I15" s="259"/>
      <c r="J15" s="259"/>
    </row>
    <row r="16" customFormat="false" ht="15" hidden="false" customHeight="true" outlineLevel="0" collapsed="false">
      <c r="B16" s="260" t="s">
        <v>307</v>
      </c>
      <c r="C16" s="260"/>
      <c r="D16" s="260"/>
      <c r="E16" s="260"/>
      <c r="F16" s="260"/>
      <c r="G16" s="260"/>
      <c r="H16" s="260"/>
      <c r="I16" s="260"/>
      <c r="J16" s="260"/>
    </row>
    <row r="17" customFormat="false" ht="24.75" hidden="false" customHeight="true" outlineLevel="0" collapsed="false">
      <c r="D17" s="22"/>
    </row>
    <row r="18" customFormat="false" ht="14.25" hidden="false" customHeight="true" outlineLevel="0" collapsed="false">
      <c r="B18" s="34" t="s">
        <v>308</v>
      </c>
      <c r="C18" s="34"/>
      <c r="D18" s="261" t="s">
        <v>260</v>
      </c>
      <c r="E18" s="261" t="s">
        <v>260</v>
      </c>
      <c r="F18" s="261" t="s">
        <v>260</v>
      </c>
      <c r="G18" s="262" t="s">
        <v>260</v>
      </c>
      <c r="H18" s="263" t="s">
        <v>260</v>
      </c>
      <c r="I18" s="263" t="s">
        <v>260</v>
      </c>
      <c r="J18" s="263" t="s">
        <v>260</v>
      </c>
    </row>
    <row r="19" customFormat="false" ht="14.25" hidden="false" customHeight="false" outlineLevel="0" collapsed="false">
      <c r="B19" s="34"/>
      <c r="C19" s="34"/>
      <c r="D19" s="264" t="n">
        <v>0.05</v>
      </c>
      <c r="E19" s="264" t="n">
        <v>0.04</v>
      </c>
      <c r="F19" s="264" t="n">
        <v>0.035</v>
      </c>
      <c r="G19" s="265" t="n">
        <v>0.03</v>
      </c>
      <c r="H19" s="266" t="n">
        <v>0.025</v>
      </c>
      <c r="I19" s="266" t="n">
        <v>0.02</v>
      </c>
      <c r="J19" s="266" t="n">
        <v>0.015</v>
      </c>
    </row>
    <row r="20" customFormat="false" ht="15" hidden="false" customHeight="true" outlineLevel="0" collapsed="false">
      <c r="B20" s="267" t="s">
        <v>309</v>
      </c>
      <c r="C20" s="268" t="s">
        <v>310</v>
      </c>
      <c r="D20" s="269" t="n">
        <v>0.04</v>
      </c>
      <c r="E20" s="269" t="n">
        <v>0.04</v>
      </c>
      <c r="F20" s="269" t="n">
        <v>0.04</v>
      </c>
      <c r="G20" s="269" t="n">
        <v>0.04</v>
      </c>
      <c r="H20" s="269" t="n">
        <v>0.04</v>
      </c>
      <c r="I20" s="269" t="n">
        <v>0.04</v>
      </c>
      <c r="J20" s="269" t="n">
        <v>0.04</v>
      </c>
    </row>
    <row r="21" customFormat="false" ht="15" hidden="false" customHeight="true" outlineLevel="0" collapsed="false">
      <c r="B21" s="267" t="s">
        <v>311</v>
      </c>
      <c r="C21" s="241" t="s">
        <v>312</v>
      </c>
      <c r="D21" s="270" t="n">
        <v>0.0123</v>
      </c>
      <c r="E21" s="270" t="n">
        <v>0.0123</v>
      </c>
      <c r="F21" s="270" t="n">
        <v>0.0123</v>
      </c>
      <c r="G21" s="270" t="n">
        <v>0.0123</v>
      </c>
      <c r="H21" s="270" t="n">
        <v>0.0123</v>
      </c>
      <c r="I21" s="270" t="n">
        <v>0.0123</v>
      </c>
      <c r="J21" s="270" t="n">
        <v>0.0123</v>
      </c>
    </row>
    <row r="22" customFormat="false" ht="15" hidden="false" customHeight="true" outlineLevel="0" collapsed="false">
      <c r="B22" s="267" t="s">
        <v>313</v>
      </c>
      <c r="C22" s="241" t="s">
        <v>314</v>
      </c>
      <c r="D22" s="270" t="n">
        <v>0.008</v>
      </c>
      <c r="E22" s="270" t="n">
        <v>0.008</v>
      </c>
      <c r="F22" s="270" t="n">
        <v>0.008</v>
      </c>
      <c r="G22" s="270" t="n">
        <v>0.008</v>
      </c>
      <c r="H22" s="270" t="n">
        <v>0.008</v>
      </c>
      <c r="I22" s="270" t="n">
        <v>0.008</v>
      </c>
      <c r="J22" s="270" t="n">
        <v>0.008</v>
      </c>
    </row>
    <row r="23" customFormat="false" ht="15" hidden="false" customHeight="true" outlineLevel="0" collapsed="false">
      <c r="B23" s="267" t="s">
        <v>315</v>
      </c>
      <c r="C23" s="241" t="s">
        <v>316</v>
      </c>
      <c r="D23" s="270" t="n">
        <v>0.0127</v>
      </c>
      <c r="E23" s="270" t="n">
        <v>0.0127</v>
      </c>
      <c r="F23" s="270" t="n">
        <v>0.0127</v>
      </c>
      <c r="G23" s="270" t="n">
        <v>0.0127</v>
      </c>
      <c r="H23" s="270" t="n">
        <v>0.0127</v>
      </c>
      <c r="I23" s="270" t="n">
        <v>0.0127</v>
      </c>
      <c r="J23" s="270" t="n">
        <v>0.0127</v>
      </c>
    </row>
    <row r="24" customFormat="false" ht="15" hidden="false" customHeight="true" outlineLevel="0" collapsed="false">
      <c r="B24" s="267" t="s">
        <v>317</v>
      </c>
      <c r="C24" s="241" t="s">
        <v>318</v>
      </c>
      <c r="D24" s="270" t="n">
        <v>0.074</v>
      </c>
      <c r="E24" s="270" t="n">
        <v>0.074</v>
      </c>
      <c r="F24" s="270" t="n">
        <v>0.074</v>
      </c>
      <c r="G24" s="270" t="n">
        <v>0.074</v>
      </c>
      <c r="H24" s="270" t="n">
        <v>0.074</v>
      </c>
      <c r="I24" s="270" t="n">
        <v>0.074</v>
      </c>
      <c r="J24" s="270" t="n">
        <v>0.074</v>
      </c>
    </row>
    <row r="25" customFormat="false" ht="15" hidden="false" customHeight="true" outlineLevel="0" collapsed="false">
      <c r="B25" s="267" t="s">
        <v>205</v>
      </c>
      <c r="C25" s="241" t="s">
        <v>319</v>
      </c>
      <c r="D25" s="270" t="n">
        <v>0.0065</v>
      </c>
      <c r="E25" s="270" t="n">
        <v>0.0065</v>
      </c>
      <c r="F25" s="270" t="n">
        <v>0.0065</v>
      </c>
      <c r="G25" s="270" t="n">
        <v>0.0065</v>
      </c>
      <c r="H25" s="270" t="n">
        <v>0.0065</v>
      </c>
      <c r="I25" s="270" t="n">
        <v>0.0065</v>
      </c>
      <c r="J25" s="270" t="n">
        <v>0.0065</v>
      </c>
    </row>
    <row r="26" customFormat="false" ht="15" hidden="false" customHeight="true" outlineLevel="0" collapsed="false">
      <c r="B26" s="267"/>
      <c r="C26" s="267" t="s">
        <v>320</v>
      </c>
      <c r="D26" s="271" t="n">
        <v>0.03</v>
      </c>
      <c r="E26" s="271" t="n">
        <v>0.03</v>
      </c>
      <c r="F26" s="271" t="n">
        <v>0.03</v>
      </c>
      <c r="G26" s="271" t="n">
        <v>0.03</v>
      </c>
      <c r="H26" s="271" t="n">
        <v>0.03</v>
      </c>
      <c r="I26" s="271" t="n">
        <v>0.03</v>
      </c>
      <c r="J26" s="271" t="n">
        <v>0.03</v>
      </c>
    </row>
    <row r="27" customFormat="false" ht="15" hidden="false" customHeight="true" outlineLevel="0" collapsed="false">
      <c r="B27" s="267"/>
      <c r="C27" s="267" t="s">
        <v>260</v>
      </c>
      <c r="D27" s="271" t="n">
        <v>0.05</v>
      </c>
      <c r="E27" s="271" t="n">
        <v>0.04</v>
      </c>
      <c r="F27" s="270" t="n">
        <v>0.035</v>
      </c>
      <c r="G27" s="271" t="n">
        <v>0.03</v>
      </c>
      <c r="H27" s="271" t="n">
        <v>0.025</v>
      </c>
      <c r="I27" s="271" t="n">
        <v>0.02</v>
      </c>
      <c r="J27" s="270" t="n">
        <v>0.015</v>
      </c>
    </row>
    <row r="28" customFormat="false" ht="15" hidden="false" customHeight="true" outlineLevel="0" collapsed="false">
      <c r="B28" s="267"/>
      <c r="C28" s="267" t="s">
        <v>321</v>
      </c>
      <c r="D28" s="271" t="n">
        <v>0.045</v>
      </c>
      <c r="E28" s="271" t="n">
        <v>0.045</v>
      </c>
      <c r="F28" s="271" t="n">
        <v>0.045</v>
      </c>
      <c r="G28" s="271" t="n">
        <v>0.045</v>
      </c>
      <c r="H28" s="271" t="n">
        <v>0.045</v>
      </c>
      <c r="I28" s="271" t="n">
        <v>0.045</v>
      </c>
      <c r="J28" s="271" t="n">
        <v>0.045</v>
      </c>
    </row>
    <row r="29" customFormat="false" ht="19.5" hidden="false" customHeight="true" outlineLevel="0" collapsed="false">
      <c r="B29" s="134" t="s">
        <v>322</v>
      </c>
      <c r="C29" s="134"/>
      <c r="D29" s="38" t="n">
        <f aca="false">(((1+D22+D20+D23)*(1+D21)*(1+D24))/(1-(D25+D26+D27+D28))-1)</f>
        <v>0.327811006493955</v>
      </c>
      <c r="E29" s="38" t="n">
        <f aca="false">(((1+E22+E20+E23)*(1+E21)*(1+E24))/(1-(E25+E26+E27+E28))-1)</f>
        <v>0.312696481661924</v>
      </c>
      <c r="F29" s="38" t="n">
        <f aca="false">(((1+F22+F20+F23)*(1+F21)*(1+F24))/(1-(F25+F26+F27+F28))-1)</f>
        <v>0.305267525908319</v>
      </c>
      <c r="G29" s="38" t="n">
        <f aca="false">(((1+G22+G20+G23)*(1+G21)*(1+G24))/(1-(G25+G26+G27+G28))-1)</f>
        <v>0.297922182487338</v>
      </c>
      <c r="H29" s="38" t="n">
        <f aca="false">(((1+H22+H20+H23)*(1+H21)*(1+H24))/(1-(H25+H26+H27+H28))-1)</f>
        <v>0.29065904772244</v>
      </c>
      <c r="I29" s="38" t="n">
        <f aca="false">(((1+I22+I20+I23)*(1+I21)*(1+I24))/(1-(I25+I26+I27+I28))-1)</f>
        <v>0.28347674918197</v>
      </c>
      <c r="J29" s="38" t="n">
        <f aca="false">(((1+J22+J20+J23)*(1+J21)*(1+J24))/(1-(J25+J26+J27+J28))-1)</f>
        <v>0.27637394481461</v>
      </c>
    </row>
    <row r="30" customFormat="false" ht="19.5" hidden="false" customHeight="true" outlineLevel="0" collapsed="false">
      <c r="B30" s="272" t="s">
        <v>323</v>
      </c>
      <c r="C30" s="272"/>
      <c r="D30" s="273" t="n">
        <f aca="false">ROUND(D29,4)</f>
        <v>0.3278</v>
      </c>
      <c r="E30" s="273" t="n">
        <f aca="false">ROUND(E29,4)</f>
        <v>0.3127</v>
      </c>
      <c r="F30" s="273" t="n">
        <f aca="false">ROUND(F29,4)</f>
        <v>0.3053</v>
      </c>
      <c r="G30" s="273" t="n">
        <f aca="false">ROUND(G29,4)</f>
        <v>0.2979</v>
      </c>
      <c r="H30" s="273" t="n">
        <f aca="false">ROUND(H29,4)</f>
        <v>0.2907</v>
      </c>
      <c r="I30" s="273" t="n">
        <f aca="false">ROUND(I29,4)</f>
        <v>0.2835</v>
      </c>
      <c r="J30" s="273" t="n">
        <f aca="false">ROUND(J29,4)</f>
        <v>0.2764</v>
      </c>
    </row>
    <row r="31" customFormat="false" ht="24.75" hidden="false" customHeight="true" outlineLevel="0" collapsed="false">
      <c r="B31" s="274"/>
      <c r="C31" s="274"/>
      <c r="D31" s="85"/>
      <c r="E31" s="85"/>
      <c r="F31" s="85"/>
      <c r="G31" s="85"/>
      <c r="H31" s="85"/>
      <c r="I31" s="85"/>
      <c r="J31" s="85"/>
    </row>
    <row r="32" customFormat="false" ht="14.25" hidden="false" customHeight="true" outlineLevel="0" collapsed="false">
      <c r="B32" s="34" t="s">
        <v>324</v>
      </c>
      <c r="C32" s="34"/>
      <c r="D32" s="261" t="s">
        <v>260</v>
      </c>
      <c r="E32" s="261" t="s">
        <v>260</v>
      </c>
      <c r="F32" s="261" t="s">
        <v>260</v>
      </c>
      <c r="G32" s="262" t="s">
        <v>260</v>
      </c>
      <c r="H32" s="263" t="s">
        <v>260</v>
      </c>
      <c r="I32" s="263" t="s">
        <v>260</v>
      </c>
      <c r="J32" s="263" t="s">
        <v>260</v>
      </c>
    </row>
    <row r="33" customFormat="false" ht="14.25" hidden="false" customHeight="false" outlineLevel="0" collapsed="false">
      <c r="B33" s="34"/>
      <c r="C33" s="34"/>
      <c r="D33" s="275" t="n">
        <v>0.05</v>
      </c>
      <c r="E33" s="275" t="n">
        <v>0.04</v>
      </c>
      <c r="F33" s="275" t="n">
        <v>0.035</v>
      </c>
      <c r="G33" s="276" t="n">
        <v>0.03</v>
      </c>
      <c r="H33" s="277" t="n">
        <v>0.025</v>
      </c>
      <c r="I33" s="277" t="n">
        <v>0.02</v>
      </c>
      <c r="J33" s="277" t="n">
        <v>0.015</v>
      </c>
    </row>
    <row r="34" customFormat="false" ht="15" hidden="false" customHeight="true" outlineLevel="0" collapsed="false">
      <c r="B34" s="267" t="s">
        <v>309</v>
      </c>
      <c r="C34" s="268" t="s">
        <v>310</v>
      </c>
      <c r="D34" s="270" t="n">
        <v>0.0345</v>
      </c>
      <c r="E34" s="270" t="n">
        <v>0.0345</v>
      </c>
      <c r="F34" s="270" t="n">
        <v>0.0345</v>
      </c>
      <c r="G34" s="270" t="n">
        <v>0.0345</v>
      </c>
      <c r="H34" s="270" t="n">
        <v>0.0345</v>
      </c>
      <c r="I34" s="270" t="n">
        <v>0.0345</v>
      </c>
      <c r="J34" s="270" t="n">
        <v>0.0345</v>
      </c>
    </row>
    <row r="35" customFormat="false" ht="15" hidden="false" customHeight="true" outlineLevel="0" collapsed="false">
      <c r="B35" s="267" t="s">
        <v>311</v>
      </c>
      <c r="C35" s="241" t="s">
        <v>312</v>
      </c>
      <c r="D35" s="270" t="n">
        <v>0.0085</v>
      </c>
      <c r="E35" s="270" t="n">
        <v>0.0085</v>
      </c>
      <c r="F35" s="270" t="n">
        <v>0.0085</v>
      </c>
      <c r="G35" s="270" t="n">
        <v>0.0085</v>
      </c>
      <c r="H35" s="270" t="n">
        <v>0.0085</v>
      </c>
      <c r="I35" s="270" t="n">
        <v>0.0085</v>
      </c>
      <c r="J35" s="270" t="n">
        <v>0.0085</v>
      </c>
    </row>
    <row r="36" customFormat="false" ht="15" hidden="false" customHeight="true" outlineLevel="0" collapsed="false">
      <c r="B36" s="267" t="s">
        <v>313</v>
      </c>
      <c r="C36" s="241" t="s">
        <v>314</v>
      </c>
      <c r="D36" s="270" t="n">
        <v>0.0048</v>
      </c>
      <c r="E36" s="270" t="n">
        <v>0.0048</v>
      </c>
      <c r="F36" s="270" t="n">
        <v>0.0048</v>
      </c>
      <c r="G36" s="270" t="n">
        <v>0.0048</v>
      </c>
      <c r="H36" s="270" t="n">
        <v>0.0048</v>
      </c>
      <c r="I36" s="270" t="n">
        <v>0.0048</v>
      </c>
      <c r="J36" s="270" t="n">
        <v>0.0048</v>
      </c>
    </row>
    <row r="37" customFormat="false" ht="15" hidden="false" customHeight="true" outlineLevel="0" collapsed="false">
      <c r="B37" s="267" t="s">
        <v>315</v>
      </c>
      <c r="C37" s="241" t="s">
        <v>316</v>
      </c>
      <c r="D37" s="270" t="n">
        <v>0.0085</v>
      </c>
      <c r="E37" s="270" t="n">
        <v>0.0085</v>
      </c>
      <c r="F37" s="270" t="n">
        <v>0.0085</v>
      </c>
      <c r="G37" s="270" t="n">
        <v>0.0085</v>
      </c>
      <c r="H37" s="270" t="n">
        <v>0.0085</v>
      </c>
      <c r="I37" s="270" t="n">
        <v>0.0085</v>
      </c>
      <c r="J37" s="270" t="n">
        <v>0.0085</v>
      </c>
    </row>
    <row r="38" customFormat="false" ht="15" hidden="false" customHeight="true" outlineLevel="0" collapsed="false">
      <c r="B38" s="267" t="s">
        <v>317</v>
      </c>
      <c r="C38" s="241" t="s">
        <v>318</v>
      </c>
      <c r="D38" s="270" t="n">
        <v>0.0511</v>
      </c>
      <c r="E38" s="270" t="n">
        <v>0.0511</v>
      </c>
      <c r="F38" s="270" t="n">
        <v>0.0511</v>
      </c>
      <c r="G38" s="270" t="n">
        <v>0.0511</v>
      </c>
      <c r="H38" s="270" t="n">
        <v>0.0511</v>
      </c>
      <c r="I38" s="270" t="n">
        <v>0.0511</v>
      </c>
      <c r="J38" s="270" t="n">
        <v>0.0511</v>
      </c>
    </row>
    <row r="39" customFormat="false" ht="15" hidden="false" customHeight="true" outlineLevel="0" collapsed="false">
      <c r="B39" s="267" t="s">
        <v>205</v>
      </c>
      <c r="C39" s="241" t="s">
        <v>319</v>
      </c>
      <c r="D39" s="270" t="n">
        <v>0.0065</v>
      </c>
      <c r="E39" s="270" t="n">
        <v>0.0065</v>
      </c>
      <c r="F39" s="270" t="n">
        <v>0.0065</v>
      </c>
      <c r="G39" s="270" t="n">
        <v>0.0065</v>
      </c>
      <c r="H39" s="270" t="n">
        <v>0.0065</v>
      </c>
      <c r="I39" s="270" t="n">
        <v>0.0065</v>
      </c>
      <c r="J39" s="270" t="n">
        <v>0.0065</v>
      </c>
    </row>
    <row r="40" customFormat="false" ht="15" hidden="false" customHeight="true" outlineLevel="0" collapsed="false">
      <c r="B40" s="267"/>
      <c r="C40" s="267" t="s">
        <v>320</v>
      </c>
      <c r="D40" s="271" t="n">
        <v>0.03</v>
      </c>
      <c r="E40" s="271" t="n">
        <v>0.03</v>
      </c>
      <c r="F40" s="271" t="n">
        <v>0.03</v>
      </c>
      <c r="G40" s="271" t="n">
        <v>0.03</v>
      </c>
      <c r="H40" s="271" t="n">
        <v>0.03</v>
      </c>
      <c r="I40" s="271" t="n">
        <v>0.03</v>
      </c>
      <c r="J40" s="271" t="n">
        <v>0.03</v>
      </c>
    </row>
    <row r="41" customFormat="false" ht="15" hidden="false" customHeight="true" outlineLevel="0" collapsed="false">
      <c r="B41" s="267"/>
      <c r="C41" s="267" t="s">
        <v>260</v>
      </c>
      <c r="D41" s="271" t="n">
        <v>0</v>
      </c>
      <c r="E41" s="271" t="n">
        <v>0</v>
      </c>
      <c r="F41" s="270" t="n">
        <v>0</v>
      </c>
      <c r="G41" s="271" t="n">
        <v>0</v>
      </c>
      <c r="H41" s="271" t="n">
        <v>0</v>
      </c>
      <c r="I41" s="271" t="n">
        <v>0</v>
      </c>
      <c r="J41" s="270" t="n">
        <v>0</v>
      </c>
    </row>
    <row r="42" customFormat="false" ht="15" hidden="false" customHeight="true" outlineLevel="0" collapsed="false">
      <c r="B42" s="267"/>
      <c r="C42" s="267" t="s">
        <v>321</v>
      </c>
      <c r="D42" s="271" t="n">
        <v>0.045</v>
      </c>
      <c r="E42" s="271" t="n">
        <v>0.045</v>
      </c>
      <c r="F42" s="271" t="n">
        <v>0.045</v>
      </c>
      <c r="G42" s="271" t="n">
        <v>0.045</v>
      </c>
      <c r="H42" s="271" t="n">
        <v>0.045</v>
      </c>
      <c r="I42" s="271" t="n">
        <v>0.045</v>
      </c>
      <c r="J42" s="271" t="n">
        <v>0.045</v>
      </c>
    </row>
    <row r="43" customFormat="false" ht="19.5" hidden="false" customHeight="true" outlineLevel="0" collapsed="false">
      <c r="B43" s="89" t="s">
        <v>322</v>
      </c>
      <c r="C43" s="89"/>
      <c r="D43" s="38" t="n">
        <f aca="false">(((1+D36+D34+D37)*(1+D35)*(1+D38))/(1-(D39+D40+D41+D42))-1)</f>
        <v>0.209258564975503</v>
      </c>
      <c r="E43" s="38" t="n">
        <f aca="false">(((1+E36+E34+E37)*(1+E35)*(1+E38))/(1-(E39+E40+E41+E42))-1)</f>
        <v>0.209258564975503</v>
      </c>
      <c r="F43" s="38" t="n">
        <f aca="false">(((1+F36+F34+F37)*(1+F35)*(1+F38))/(1-(F39+F40+F41+F42))-1)</f>
        <v>0.209258564975503</v>
      </c>
      <c r="G43" s="38" t="n">
        <f aca="false">(((1+G36+G34+G37)*(1+G35)*(1+G38))/(1-(G39+G40+G41+G42))-1)</f>
        <v>0.209258564975503</v>
      </c>
      <c r="H43" s="38" t="n">
        <f aca="false">(((1+H36+H34+H37)*(1+H35)*(1+H38))/(1-(H39+H40+H41+H42))-1)</f>
        <v>0.209258564975503</v>
      </c>
      <c r="I43" s="38" t="n">
        <f aca="false">(((1+I36+I34+I37)*(1+I35)*(1+I38))/(1-(I39+I40+I41+I42))-1)</f>
        <v>0.209258564975503</v>
      </c>
      <c r="J43" s="38" t="n">
        <f aca="false">(((1+J36+J34+J37)*(1+J35)*(1+J38))/(1-(J39+J40+J41+J42))-1)</f>
        <v>0.209258564975503</v>
      </c>
    </row>
    <row r="44" customFormat="false" ht="19.5" hidden="false" customHeight="true" outlineLevel="0" collapsed="false">
      <c r="B44" s="278" t="s">
        <v>323</v>
      </c>
      <c r="C44" s="278"/>
      <c r="D44" s="273" t="n">
        <f aca="false">ROUND(D43,4)</f>
        <v>0.2093</v>
      </c>
      <c r="E44" s="273" t="n">
        <f aca="false">ROUND(E43,4)</f>
        <v>0.2093</v>
      </c>
      <c r="F44" s="273" t="n">
        <f aca="false">ROUND(F43,4)</f>
        <v>0.2093</v>
      </c>
      <c r="G44" s="273" t="n">
        <f aca="false">ROUND(G43,4)</f>
        <v>0.2093</v>
      </c>
      <c r="H44" s="273" t="n">
        <f aca="false">ROUND(H43,4)</f>
        <v>0.2093</v>
      </c>
      <c r="I44" s="273" t="n">
        <f aca="false">ROUND(I43,4)</f>
        <v>0.2093</v>
      </c>
      <c r="J44" s="273" t="n">
        <f aca="false">ROUND(J43,4)</f>
        <v>0.2093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8" width="9.12"/>
    <col collapsed="false" customWidth="true" hidden="false" outlineLevel="0" max="4" min="4" style="18" width="12.25"/>
    <col collapsed="false" customWidth="true" hidden="false" outlineLevel="0" max="5" min="5" style="18" width="13.62"/>
    <col collapsed="false" customWidth="true" hidden="false" outlineLevel="0" max="6" min="6" style="18" width="7"/>
    <col collapsed="false" customWidth="true" hidden="false" outlineLevel="0" max="7" min="7" style="18" width="11.88"/>
    <col collapsed="false" customWidth="true" hidden="false" outlineLevel="0" max="8" min="8" style="18" width="13.25"/>
    <col collapsed="false" customWidth="true" hidden="false" outlineLevel="0" max="9" min="9" style="18" width="12.76"/>
    <col collapsed="false" customWidth="true" hidden="false" outlineLevel="0" max="11" min="10" style="18" width="13"/>
    <col collapsed="false" customWidth="true" hidden="false" outlineLevel="0" max="13" min="12" style="18" width="9.25"/>
    <col collapsed="false" customWidth="true" hidden="false" outlineLevel="0" max="248" min="14" style="18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6" t="str">
        <f aca="false">"DIVISÃO DOS CUSTOS POR ALÍQUOTA DE ISSQN - "&amp;'Valor da Contratação'!B7&amp;""</f>
        <v>DIVISÃO DOS CUSTOS POR ALÍQUOTA DE ISSQN - POLO V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customFormat="false" ht="16.5" hidden="false" customHeight="true" outlineLevel="0" collapsed="false"/>
    <row r="4" customFormat="false" ht="45.75" hidden="false" customHeight="true" outlineLevel="0" collapsed="false">
      <c r="B4" s="279" t="s">
        <v>41</v>
      </c>
      <c r="C4" s="280" t="s">
        <v>325</v>
      </c>
      <c r="D4" s="280" t="s">
        <v>326</v>
      </c>
      <c r="E4" s="280" t="s">
        <v>327</v>
      </c>
      <c r="F4" s="281"/>
      <c r="G4" s="280" t="s">
        <v>328</v>
      </c>
      <c r="H4" s="280" t="s">
        <v>329</v>
      </c>
      <c r="I4" s="280" t="s">
        <v>330</v>
      </c>
      <c r="J4" s="280" t="s">
        <v>331</v>
      </c>
      <c r="K4" s="280" t="s">
        <v>332</v>
      </c>
      <c r="L4" s="280" t="s">
        <v>333</v>
      </c>
      <c r="M4" s="280" t="s">
        <v>334</v>
      </c>
    </row>
    <row r="5" customFormat="false" ht="15" hidden="false" customHeight="true" outlineLevel="0" collapsed="false">
      <c r="B5" s="129" t="str">
        <f aca="false">'Base Florianópolis'!B7</f>
        <v>APS ALFREDO WAGNER</v>
      </c>
      <c r="C5" s="282" t="n">
        <f aca="false">VLOOKUP(B5,Unidades!$D$5:$G$32,4,)</f>
        <v>0.05</v>
      </c>
      <c r="D5" s="283" t="n">
        <f aca="false">'Base Florianópolis'!AD7*12+'Base Florianópolis'!AE7*4+'Base Florianópolis'!AF7*2+'Base Florianópolis'!AG7</f>
        <v>12164.9844465359</v>
      </c>
      <c r="E5" s="283" t="n">
        <f aca="false">'Base Florianópolis'!AK7*12+'Base Florianópolis'!AL7*4+'Base Florianópolis'!AM7*2+'Base Florianópolis'!AN7</f>
        <v>16152.6663481103</v>
      </c>
      <c r="G5" s="271" t="n">
        <v>0.015</v>
      </c>
      <c r="H5" s="284" t="n">
        <f aca="false">SUMIF(C$5:C$32,G5,D$5:D$32)</f>
        <v>0</v>
      </c>
      <c r="I5" s="284" t="n">
        <f aca="false">SUMIF(C$5:C$32,G5,E$5:E$32)</f>
        <v>0</v>
      </c>
      <c r="J5" s="284" t="n">
        <f aca="false">H5*4</f>
        <v>0</v>
      </c>
      <c r="K5" s="284" t="n">
        <f aca="false">I5*4</f>
        <v>0</v>
      </c>
      <c r="L5" s="285" t="n">
        <f aca="false">H5/H$14</f>
        <v>0</v>
      </c>
      <c r="M5" s="285" t="n">
        <f aca="false">I5/I$14</f>
        <v>0</v>
      </c>
    </row>
    <row r="6" customFormat="false" ht="15" hidden="false" customHeight="true" outlineLevel="0" collapsed="false">
      <c r="B6" s="129" t="str">
        <f aca="false">'Base Florianópolis'!B8</f>
        <v>APS BI – FLORIANÓPOLIS</v>
      </c>
      <c r="C6" s="282" t="n">
        <f aca="false">VLOOKUP(B6,Unidades!$D$5:$G$32,4,)</f>
        <v>0.03</v>
      </c>
      <c r="D6" s="283" t="n">
        <f aca="false">'Base Florianópolis'!AD8*12+'Base Florianópolis'!AE8*4+'Base Florianópolis'!AF8*2+'Base Florianópolis'!AG8</f>
        <v>10553.6834054539</v>
      </c>
      <c r="E6" s="283" t="n">
        <f aca="false">'Base Florianópolis'!AK8*12+'Base Florianópolis'!AL8*4+'Base Florianópolis'!AM8*2+'Base Florianópolis'!AN8</f>
        <v>13697.6256919386</v>
      </c>
      <c r="G6" s="271" t="n">
        <v>0.02</v>
      </c>
      <c r="H6" s="284" t="n">
        <f aca="false">SUMIF(C$5:C$32,G6,D$5:D$32)</f>
        <v>44954.5970117615</v>
      </c>
      <c r="I6" s="284" t="n">
        <f aca="false">SUMIF(C$5:C$32,G6,E$5:E$32)</f>
        <v>57699.2252645959</v>
      </c>
      <c r="J6" s="284" t="n">
        <f aca="false">H6*4</f>
        <v>179818.388047046</v>
      </c>
      <c r="K6" s="284" t="n">
        <f aca="false">I6*4</f>
        <v>230796.901058384</v>
      </c>
      <c r="L6" s="285" t="n">
        <f aca="false">H6/H$14</f>
        <v>0.165992605332429</v>
      </c>
      <c r="M6" s="285" t="n">
        <f aca="false">I6/I$14</f>
        <v>0.163374446868399</v>
      </c>
    </row>
    <row r="7" customFormat="false" ht="15" hidden="false" customHeight="true" outlineLevel="0" collapsed="false">
      <c r="B7" s="129" t="str">
        <f aca="false">'Base Florianópolis'!B9</f>
        <v>APS BIGUAÇU</v>
      </c>
      <c r="C7" s="282" t="n">
        <f aca="false">VLOOKUP(B7,Unidades!$D$5:$G$32,4,)</f>
        <v>0.05</v>
      </c>
      <c r="D7" s="283" t="n">
        <f aca="false">'Base Florianópolis'!AD9*12+'Base Florianópolis'!AE9*4+'Base Florianópolis'!AF9*2+'Base Florianópolis'!AG9</f>
        <v>6337.44727986922</v>
      </c>
      <c r="E7" s="283" t="n">
        <f aca="false">'Base Florianópolis'!AK9*12+'Base Florianópolis'!AL9*4+'Base Florianópolis'!AM9*2+'Base Florianópolis'!AN9</f>
        <v>8414.86249821035</v>
      </c>
      <c r="G7" s="271" t="n">
        <v>0.025</v>
      </c>
      <c r="H7" s="284" t="n">
        <f aca="false">SUMIF(C$5:C$32,G7,D$5:D$32)</f>
        <v>6138.45869653588</v>
      </c>
      <c r="I7" s="284" t="n">
        <f aca="false">SUMIF(C$5:C$32,G7,E$5:E$32)</f>
        <v>7922.90863961886</v>
      </c>
      <c r="J7" s="284" t="n">
        <f aca="false">H7*4</f>
        <v>24553.8347861435</v>
      </c>
      <c r="K7" s="284" t="n">
        <f aca="false">I7*4</f>
        <v>31691.6345584755</v>
      </c>
      <c r="L7" s="285" t="n">
        <f aca="false">H7/H$14</f>
        <v>0.0226659523050982</v>
      </c>
      <c r="M7" s="285" t="n">
        <f aca="false">I7/I$14</f>
        <v>0.0224335909303939</v>
      </c>
    </row>
    <row r="8" customFormat="false" ht="15" hidden="false" customHeight="true" outlineLevel="0" collapsed="false">
      <c r="B8" s="129" t="str">
        <f aca="false">'Base Florianópolis'!B10</f>
        <v>APS CURITIBANOS</v>
      </c>
      <c r="C8" s="282" t="n">
        <f aca="false">VLOOKUP(B8,Unidades!$D$5:$G$32,4,)</f>
        <v>0.04</v>
      </c>
      <c r="D8" s="283" t="n">
        <f aca="false">'Base Florianópolis'!AD10*12+'Base Florianópolis'!AE10*4+'Base Florianópolis'!AF10*2+'Base Florianópolis'!AG10</f>
        <v>25327.7672387872</v>
      </c>
      <c r="E8" s="283" t="n">
        <f aca="false">'Base Florianópolis'!AK10*12+'Base Florianópolis'!AL10*4+'Base Florianópolis'!AM10*2+'Base Florianópolis'!AN10</f>
        <v>33247.760054356</v>
      </c>
      <c r="G8" s="271" t="n">
        <v>0.03</v>
      </c>
      <c r="H8" s="284" t="n">
        <f aca="false">SUMIF(C$5:C$32,G8,D$5:D$32)</f>
        <v>109106.001219185</v>
      </c>
      <c r="I8" s="284" t="n">
        <f aca="false">SUMIF(C$5:C$32,G8,E$5:E$32)</f>
        <v>141608.67898238</v>
      </c>
      <c r="J8" s="284" t="n">
        <f aca="false">H8*4</f>
        <v>436424.004876739</v>
      </c>
      <c r="K8" s="284" t="n">
        <f aca="false">I8*4</f>
        <v>566434.715929519</v>
      </c>
      <c r="L8" s="285" t="n">
        <f aca="false">H8/H$14</f>
        <v>0.402868462930216</v>
      </c>
      <c r="M8" s="285" t="n">
        <f aca="false">I8/I$14</f>
        <v>0.400962742470421</v>
      </c>
    </row>
    <row r="9" s="31" customFormat="true" ht="15" hidden="false" customHeight="true" outlineLevel="0" collapsed="false">
      <c r="B9" s="129" t="str">
        <f aca="false">'Base Florianópolis'!B11</f>
        <v>DEPÓSITO FLORIANÓPOLIS - CONTINENTE</v>
      </c>
      <c r="C9" s="282" t="n">
        <f aca="false">VLOOKUP(B9,Unidades!$D$5:$G$32,4,)</f>
        <v>0.03</v>
      </c>
      <c r="D9" s="283" t="n">
        <f aca="false">'Base Florianópolis'!AD11*12+'Base Florianópolis'!AE11*4+'Base Florianópolis'!AF11*2+'Base Florianópolis'!AG11</f>
        <v>10354.6948221206</v>
      </c>
      <c r="E9" s="283" t="n">
        <f aca="false">'Base Florianópolis'!AK11*12+'Base Florianópolis'!AL11*4+'Base Florianópolis'!AM11*2+'Base Florianópolis'!AN11</f>
        <v>13439.3584096303</v>
      </c>
      <c r="G9" s="271" t="n">
        <v>0.035</v>
      </c>
      <c r="H9" s="284" t="n">
        <f aca="false">SUMIF(C$5:C$32,G9,D$5:D$32)</f>
        <v>0</v>
      </c>
      <c r="I9" s="284" t="n">
        <f aca="false">SUMIF(C$5:C$32,G9,E$5:E$32)</f>
        <v>0</v>
      </c>
      <c r="J9" s="284" t="n">
        <f aca="false">H9*4</f>
        <v>0</v>
      </c>
      <c r="K9" s="284" t="n">
        <f aca="false">I9*4</f>
        <v>0</v>
      </c>
      <c r="L9" s="285" t="n">
        <f aca="false">H9/H$14</f>
        <v>0</v>
      </c>
      <c r="M9" s="285" t="n">
        <f aca="false">I9/I$14</f>
        <v>0</v>
      </c>
      <c r="IO9" s="35"/>
    </row>
    <row r="10" s="31" customFormat="true" ht="15" hidden="false" customHeight="true" outlineLevel="0" collapsed="false">
      <c r="B10" s="129" t="str">
        <f aca="false">'Base Florianópolis'!B12</f>
        <v>APS ITAPEMA</v>
      </c>
      <c r="C10" s="282" t="n">
        <f aca="false">VLOOKUP(B10,Unidades!$D$5:$G$32,4,)</f>
        <v>0.05</v>
      </c>
      <c r="D10" s="283" t="n">
        <f aca="false">'Base Florianópolis'!AD12*12+'Base Florianópolis'!AE12*4+'Base Florianópolis'!AF12*2+'Base Florianópolis'!AG12</f>
        <v>7116.21377986922</v>
      </c>
      <c r="E10" s="283" t="n">
        <f aca="false">'Base Florianópolis'!AK12*12+'Base Florianópolis'!AL12*4+'Base Florianópolis'!AM12*2+'Base Florianópolis'!AN12</f>
        <v>9448.90865691034</v>
      </c>
      <c r="G10" s="271" t="n">
        <v>0.04</v>
      </c>
      <c r="H10" s="284" t="n">
        <f aca="false">SUMIF(C$5:C$32,G10,D$5:D$32)</f>
        <v>62614.153726636</v>
      </c>
      <c r="I10" s="284" t="n">
        <f aca="false">SUMIF(C$5:C$32,G10,E$5:E$32)</f>
        <v>82193.599596955</v>
      </c>
      <c r="J10" s="284" t="n">
        <f aca="false">H10*4</f>
        <v>250456.614906544</v>
      </c>
      <c r="K10" s="284" t="n">
        <f aca="false">I10*4</f>
        <v>328774.39838782</v>
      </c>
      <c r="L10" s="285" t="n">
        <f aca="false">H10/H$14</f>
        <v>0.231199636937025</v>
      </c>
      <c r="M10" s="285" t="n">
        <f aca="false">I10/I$14</f>
        <v>0.232729881704578</v>
      </c>
      <c r="IO10" s="35"/>
    </row>
    <row r="11" customFormat="false" ht="15" hidden="false" customHeight="true" outlineLevel="0" collapsed="false">
      <c r="B11" s="129" t="str">
        <f aca="false">'Base Florianópolis'!B13</f>
        <v>APS LAGES</v>
      </c>
      <c r="C11" s="282" t="n">
        <f aca="false">VLOOKUP(B11,Unidades!$D$5:$G$32,4,)</f>
        <v>0.02</v>
      </c>
      <c r="D11" s="283" t="n">
        <f aca="false">'Base Florianópolis'!AD13*12+'Base Florianópolis'!AE13*4+'Base Florianópolis'!AF13*2+'Base Florianópolis'!AG13</f>
        <v>15135.7932527436</v>
      </c>
      <c r="E11" s="283" t="n">
        <f aca="false">'Base Florianópolis'!AK13*12+'Base Florianópolis'!AL13*4+'Base Florianópolis'!AM13*2+'Base Florianópolis'!AN13</f>
        <v>19426.7906398964</v>
      </c>
      <c r="G11" s="271" t="n">
        <v>0.045</v>
      </c>
      <c r="H11" s="284" t="n">
        <f aca="false">SUMIF(C$5:C$32,G11,D$5:D$32)</f>
        <v>0</v>
      </c>
      <c r="I11" s="284" t="n">
        <f aca="false">SUMIF(C$5:C$32,G11,E$5:E$32)</f>
        <v>0</v>
      </c>
      <c r="J11" s="284" t="n">
        <f aca="false">H11*4</f>
        <v>0</v>
      </c>
      <c r="K11" s="284" t="n">
        <f aca="false">I11*4</f>
        <v>0</v>
      </c>
      <c r="L11" s="285" t="n">
        <f aca="false">H11/H$14</f>
        <v>0</v>
      </c>
      <c r="M11" s="285" t="n">
        <f aca="false">I11/I$14</f>
        <v>0</v>
      </c>
    </row>
    <row r="12" customFormat="false" ht="15" hidden="false" customHeight="true" outlineLevel="0" collapsed="false">
      <c r="B12" s="129" t="str">
        <f aca="false">'Base Florianópolis'!B14</f>
        <v>APS PALHOÇA</v>
      </c>
      <c r="C12" s="282" t="n">
        <f aca="false">VLOOKUP(B12,Unidades!$D$5:$G$32,4,)</f>
        <v>0.02</v>
      </c>
      <c r="D12" s="283" t="n">
        <f aca="false">'Base Florianópolis'!AD14*12+'Base Florianópolis'!AE14*4+'Base Florianópolis'!AF14*2+'Base Florianópolis'!AG14</f>
        <v>6284.18977986922</v>
      </c>
      <c r="E12" s="283" t="n">
        <f aca="false">'Base Florianópolis'!AK14*12+'Base Florianópolis'!AL14*4+'Base Florianópolis'!AM14*2+'Base Florianópolis'!AN14</f>
        <v>8065.75758246214</v>
      </c>
      <c r="G12" s="271" t="n">
        <v>0.05</v>
      </c>
      <c r="H12" s="284" t="n">
        <f aca="false">SUMIF(C$5:C$32,G12,D$5:D$32)</f>
        <v>48009.678845882</v>
      </c>
      <c r="I12" s="284" t="n">
        <f aca="false">SUMIF(C$5:C$32,G12,E$5:E$32)</f>
        <v>63747.2515715621</v>
      </c>
      <c r="J12" s="284" t="n">
        <f aca="false">H12*4</f>
        <v>192038.715383528</v>
      </c>
      <c r="K12" s="284" t="n">
        <f aca="false">I12*4</f>
        <v>254989.006286248</v>
      </c>
      <c r="L12" s="285" t="n">
        <f aca="false">H12/H$14</f>
        <v>0.177273342495232</v>
      </c>
      <c r="M12" s="285" t="n">
        <f aca="false">I12/I$14</f>
        <v>0.180499338026208</v>
      </c>
    </row>
    <row r="13" s="18" customFormat="true" ht="15" hidden="false" customHeight="true" outlineLevel="0" collapsed="false">
      <c r="B13" s="129" t="str">
        <f aca="false">'Base Florianópolis'!B15</f>
        <v>APS SÃO JOSÉ</v>
      </c>
      <c r="C13" s="282" t="n">
        <f aca="false">VLOOKUP(B13,Unidades!$D$5:$G$32,4,)</f>
        <v>0.025</v>
      </c>
      <c r="D13" s="283" t="n">
        <f aca="false">'Base Florianópolis'!AD15*12+'Base Florianópolis'!AE15*4+'Base Florianópolis'!AF15*2+'Base Florianópolis'!AG15</f>
        <v>6138.45869653588</v>
      </c>
      <c r="E13" s="283" t="n">
        <f aca="false">'Base Florianópolis'!AK15*12+'Base Florianópolis'!AL15*4+'Base Florianópolis'!AM15*2+'Base Florianópolis'!AN15</f>
        <v>7922.90863961886</v>
      </c>
      <c r="G13" s="19"/>
    </row>
    <row r="14" s="18" customFormat="true" ht="15" hidden="false" customHeight="true" outlineLevel="0" collapsed="false">
      <c r="B14" s="129" t="str">
        <f aca="false">'Base Florianópolis'!B16</f>
        <v>APS TIJUCAS</v>
      </c>
      <c r="C14" s="282" t="n">
        <f aca="false">VLOOKUP(B14,Unidades!$D$5:$G$32,4,)</f>
        <v>0.02</v>
      </c>
      <c r="D14" s="283" t="n">
        <f aca="false">'Base Florianópolis'!AD16*12+'Base Florianópolis'!AE16*4+'Base Florianópolis'!AF16*2+'Base Florianópolis'!AG16</f>
        <v>7116.21377986922</v>
      </c>
      <c r="E14" s="283" t="n">
        <f aca="false">'Base Florianópolis'!AK16*12+'Base Florianópolis'!AL16*4+'Base Florianópolis'!AM16*2+'Base Florianópolis'!AN16</f>
        <v>9133.66038646214</v>
      </c>
      <c r="G14" s="280" t="s">
        <v>102</v>
      </c>
      <c r="H14" s="286" t="n">
        <f aca="false">SUM(H5:H12)</f>
        <v>270822.8895</v>
      </c>
      <c r="I14" s="286" t="n">
        <f aca="false">SUM(I5:I12)</f>
        <v>353171.664055112</v>
      </c>
      <c r="J14" s="286" t="n">
        <f aca="false">SUM(J5:J12)</f>
        <v>1083291.558</v>
      </c>
      <c r="K14" s="286" t="n">
        <f aca="false">SUM(K5:K12)</f>
        <v>1412686.65622045</v>
      </c>
      <c r="L14" s="287" t="n">
        <f aca="false">SUM(L5:L12)</f>
        <v>1</v>
      </c>
      <c r="M14" s="287" t="n">
        <f aca="false">SUM(M5:M12)</f>
        <v>1</v>
      </c>
    </row>
    <row r="15" s="18" customFormat="true" ht="15" hidden="false" customHeight="true" outlineLevel="0" collapsed="false">
      <c r="B15" s="129" t="str">
        <f aca="false">'Base Florianópolis'!B17</f>
        <v>CEDOC PALHOÇA</v>
      </c>
      <c r="C15" s="282" t="n">
        <f aca="false">VLOOKUP(B15,Unidades!$D$5:$G$32,4,)</f>
        <v>0.02</v>
      </c>
      <c r="D15" s="283" t="n">
        <f aca="false">'Base Florianópolis'!AD17*12+'Base Florianópolis'!AE17*4+'Base Florianópolis'!AF17*2+'Base Florianópolis'!AG17</f>
        <v>6284.18977986922</v>
      </c>
      <c r="E15" s="283" t="n">
        <f aca="false">'Base Florianópolis'!AK17*12+'Base Florianópolis'!AL17*4+'Base Florianópolis'!AM17*2+'Base Florianópolis'!AN17</f>
        <v>8065.75758246214</v>
      </c>
    </row>
    <row r="16" s="18" customFormat="true" ht="15" hidden="false" customHeight="true" outlineLevel="0" collapsed="false">
      <c r="B16" s="129" t="str">
        <f aca="false">'Base Florianópolis'!B18</f>
        <v>GALPÕES AV. MAURO RAMOS</v>
      </c>
      <c r="C16" s="282" t="n">
        <f aca="false">VLOOKUP(B16,Unidades!$D$5:$G$32,4,)</f>
        <v>0.03</v>
      </c>
      <c r="D16" s="283" t="n">
        <f aca="false">'Base Florianópolis'!AD18*12+'Base Florianópolis'!AE18*4+'Base Florianópolis'!AF18*2+'Base Florianópolis'!AG18</f>
        <v>9046.42900274359</v>
      </c>
      <c r="E16" s="283" t="n">
        <f aca="false">'Base Florianópolis'!AK18*12+'Base Florianópolis'!AL18*4+'Base Florianópolis'!AM18*2+'Base Florianópolis'!AN18</f>
        <v>11741.3602026609</v>
      </c>
    </row>
    <row r="17" s="18" customFormat="true" ht="15" hidden="false" customHeight="true" outlineLevel="0" collapsed="false">
      <c r="B17" s="129" t="str">
        <f aca="false">'Base Florianópolis'!B19</f>
        <v>GEX/APS FLORIANÓPOLIS</v>
      </c>
      <c r="C17" s="282" t="n">
        <f aca="false">VLOOKUP(B17,Unidades!$D$5:$G$32,4,)</f>
        <v>0.03</v>
      </c>
      <c r="D17" s="283" t="n">
        <f aca="false">'Base Florianópolis'!AD19*12+'Base Florianópolis'!AE19*4+'Base Florianópolis'!AF19*2+'Base Florianópolis'!AG19</f>
        <v>14179.2691753667</v>
      </c>
      <c r="E17" s="283" t="n">
        <f aca="false">'Base Florianópolis'!AK19*12+'Base Florianópolis'!AL19*4+'Base Florianópolis'!AM19*2+'Base Florianópolis'!AN19</f>
        <v>18403.2734627084</v>
      </c>
    </row>
    <row r="18" s="18" customFormat="true" ht="15" hidden="false" customHeight="true" outlineLevel="0" collapsed="false">
      <c r="B18" s="129" t="str">
        <f aca="false">'Base Florianópolis'!B20</f>
        <v>SALAS EMEDAUX</v>
      </c>
      <c r="C18" s="282" t="n">
        <f aca="false">VLOOKUP(B18,Unidades!$D$5:$G$32,4,)</f>
        <v>0.03</v>
      </c>
      <c r="D18" s="283" t="n">
        <f aca="false">'Base Florianópolis'!AD20*12+'Base Florianópolis'!AE20*4+'Base Florianópolis'!AF20*2+'Base Florianópolis'!AG20</f>
        <v>6075.62019653588</v>
      </c>
      <c r="E18" s="283" t="n">
        <f aca="false">'Base Florianópolis'!AK20*12+'Base Florianópolis'!AL20*4+'Base Florianópolis'!AM20*2+'Base Florianópolis'!AN20</f>
        <v>7885.54745308392</v>
      </c>
    </row>
    <row r="19" s="18" customFormat="true" ht="15" hidden="false" customHeight="true" outlineLevel="0" collapsed="false">
      <c r="B19" s="129" t="str">
        <f aca="false">'Base Florianópolis'!B21</f>
        <v>SEDE DA SUPERINTENDÊNCIA</v>
      </c>
      <c r="C19" s="282" t="n">
        <f aca="false">VLOOKUP(B19,Unidades!$D$5:$G$32,4,)</f>
        <v>0.03</v>
      </c>
      <c r="D19" s="283" t="n">
        <f aca="false">'Base Florianópolis'!AD21*12+'Base Florianópolis'!AE21*4+'Base Florianópolis'!AF21*2+'Base Florianópolis'!AG21</f>
        <v>14179.2691753667</v>
      </c>
      <c r="E19" s="283" t="n">
        <f aca="false">'Base Florianópolis'!AK21*12+'Base Florianópolis'!AL21*4+'Base Florianópolis'!AM21*2+'Base Florianópolis'!AN21</f>
        <v>18403.2734627084</v>
      </c>
    </row>
    <row r="20" s="31" customFormat="true" ht="15" hidden="false" customHeight="true" outlineLevel="0" collapsed="false">
      <c r="B20" s="129" t="str">
        <f aca="false">'Base Criciúma'!B7</f>
        <v>APS ARARANGUÁ</v>
      </c>
      <c r="C20" s="282" t="n">
        <f aca="false">VLOOKUP(B20,Unidades!$D$5:$G$32,4,)</f>
        <v>0.03</v>
      </c>
      <c r="D20" s="283" t="n">
        <f aca="false">'Base Criciúma'!AD7*12+'Base Criciúma'!AE7*4+'Base Criciúma'!AF7*2+'Base Criciúma'!AG7</f>
        <v>11390.1108221206</v>
      </c>
      <c r="E20" s="283" t="n">
        <f aca="false">'Base Criciúma'!AK7*12+'Base Criciúma'!AL7*4+'Base Criciúma'!AM7*2+'Base Criciúma'!AN7</f>
        <v>14783.2248360303</v>
      </c>
      <c r="G20" s="18"/>
      <c r="H20" s="18"/>
      <c r="I20" s="18"/>
      <c r="J20" s="18"/>
      <c r="K20" s="18"/>
      <c r="L20" s="18"/>
      <c r="M20" s="18"/>
    </row>
    <row r="21" s="18" customFormat="true" ht="15" hidden="false" customHeight="true" outlineLevel="0" collapsed="false">
      <c r="B21" s="129" t="str">
        <f aca="false">'Base Criciúma'!B8</f>
        <v>APS BRAÇO DO NORTE</v>
      </c>
      <c r="C21" s="282" t="n">
        <f aca="false">VLOOKUP(B21,Unidades!$D$5:$G$32,4,)</f>
        <v>0.04</v>
      </c>
      <c r="D21" s="283" t="n">
        <f aca="false">'Base Criciúma'!AD8*12+'Base Criciúma'!AE8*4+'Base Criciúma'!AF8*2+'Base Criciúma'!AG8</f>
        <v>8359.49257612052</v>
      </c>
      <c r="E21" s="283" t="n">
        <f aca="false">'Base Criciúma'!AK8*12+'Base Criciúma'!AL8*4+'Base Criciúma'!AM8*2+'Base Criciúma'!AN8</f>
        <v>10973.5059046734</v>
      </c>
      <c r="G21" s="31"/>
      <c r="H21" s="31"/>
      <c r="I21" s="31"/>
      <c r="J21" s="31"/>
      <c r="K21" s="31"/>
      <c r="L21" s="31"/>
      <c r="M21" s="31"/>
    </row>
    <row r="22" customFormat="false" ht="15" hidden="false" customHeight="true" outlineLevel="0" collapsed="false">
      <c r="B22" s="129" t="str">
        <f aca="false">'Base Criciúma'!B9</f>
        <v>APS CAPIVARI DE BAIXO</v>
      </c>
      <c r="C22" s="282" t="n">
        <f aca="false">VLOOKUP(B22,Unidades!$D$5:$G$32,4,)</f>
        <v>0.03</v>
      </c>
      <c r="D22" s="283" t="n">
        <f aca="false">'Base Criciúma'!AD9*12+'Base Criciúma'!AE9*4+'Base Criciúma'!AF9*2+'Base Criciúma'!AG9</f>
        <v>7163.40161320255</v>
      </c>
      <c r="E22" s="283" t="n">
        <f aca="false">'Base Criciúma'!AK9*12+'Base Criciúma'!AL9*4+'Base Criciúma'!AM9*2+'Base Criciúma'!AN9</f>
        <v>9297.37895377559</v>
      </c>
    </row>
    <row r="23" customFormat="false" ht="15" hidden="false" customHeight="true" outlineLevel="0" collapsed="false">
      <c r="B23" s="129" t="str">
        <f aca="false">'Base Criciúma'!B10</f>
        <v>APS FORQUILHINHA</v>
      </c>
      <c r="C23" s="282" t="n">
        <f aca="false">VLOOKUP(B23,Unidades!$D$5:$G$32,4,)</f>
        <v>0.04</v>
      </c>
      <c r="D23" s="283" t="n">
        <f aca="false">'Base Criciúma'!AD10*12+'Base Criciúma'!AE10*4+'Base Criciúma'!AF10*2+'Base Criciúma'!AG10</f>
        <v>6589.40977986922</v>
      </c>
      <c r="E23" s="283" t="n">
        <f aca="false">'Base Criciúma'!AK10*12+'Base Criciúma'!AL10*4+'Base Criciúma'!AM10*2+'Base Criciúma'!AN10</f>
        <v>8649.91821803432</v>
      </c>
    </row>
    <row r="24" customFormat="false" ht="15" hidden="false" customHeight="true" outlineLevel="0" collapsed="false">
      <c r="B24" s="129" t="str">
        <f aca="false">'Base Criciúma'!B11</f>
        <v>APS IÇARA</v>
      </c>
      <c r="C24" s="282" t="n">
        <f aca="false">VLOOKUP(B24,Unidades!$D$5:$G$32,4,)</f>
        <v>0.05</v>
      </c>
      <c r="D24" s="283" t="n">
        <f aca="false">'Base Criciúma'!AD11*12+'Base Criciúma'!AE11*4+'Base Criciúma'!AF11*2+'Base Criciúma'!AG11</f>
        <v>6589.40977986922</v>
      </c>
      <c r="E24" s="283" t="n">
        <f aca="false">'Base Criciúma'!AK11*12+'Base Criciúma'!AL11*4+'Base Criciúma'!AM11*2+'Base Criciúma'!AN11</f>
        <v>8749.41830571035</v>
      </c>
    </row>
    <row r="25" customFormat="false" ht="15" hidden="false" customHeight="true" outlineLevel="0" collapsed="false">
      <c r="B25" s="129" t="str">
        <f aca="false">'Base Criciúma'!B12</f>
        <v>APS LAGUNA</v>
      </c>
      <c r="C25" s="282" t="n">
        <f aca="false">VLOOKUP(B25,Unidades!$D$5:$G$32,4,)</f>
        <v>0.05</v>
      </c>
      <c r="D25" s="283" t="n">
        <f aca="false">'Base Criciúma'!AD12*12+'Base Criciúma'!AE12*4+'Base Criciúma'!AF12*2+'Base Criciúma'!AG12</f>
        <v>7900.81177986922</v>
      </c>
      <c r="E25" s="283" t="n">
        <f aca="false">'Base Criciúma'!AK12*12+'Base Criciúma'!AL12*4+'Base Criciúma'!AM12*2+'Base Criciúma'!AN12</f>
        <v>10490.6978813103</v>
      </c>
    </row>
    <row r="26" customFormat="false" ht="15" hidden="false" customHeight="true" outlineLevel="0" collapsed="false">
      <c r="B26" s="129" t="str">
        <f aca="false">'Base Criciúma'!B13</f>
        <v>APS SOMBRIO</v>
      </c>
      <c r="C26" s="282" t="n">
        <f aca="false">VLOOKUP(B26,Unidades!$D$5:$G$32,4,)</f>
        <v>0.03</v>
      </c>
      <c r="D26" s="283" t="n">
        <f aca="false">'Base Criciúma'!AD13*12+'Base Criciúma'!AE13*4+'Base Criciúma'!AF13*2+'Base Criciúma'!AG13</f>
        <v>7173.87469653588</v>
      </c>
      <c r="E26" s="283" t="n">
        <f aca="false">'Base Criciúma'!AK13*12+'Base Criciúma'!AL13*4+'Base Criciúma'!AM13*2+'Base Criciúma'!AN13</f>
        <v>9310.97196863392</v>
      </c>
    </row>
    <row r="27" customFormat="false" ht="15" hidden="false" customHeight="true" outlineLevel="0" collapsed="false">
      <c r="B27" s="129" t="str">
        <f aca="false">'Base Criciúma'!B14</f>
        <v>APS TUBARÃO</v>
      </c>
      <c r="C27" s="282" t="n">
        <f aca="false">VLOOKUP(B27,Unidades!$D$5:$G$32,4,)</f>
        <v>0.02</v>
      </c>
      <c r="D27" s="283" t="n">
        <f aca="false">'Base Criciúma'!AD14*12+'Base Criciúma'!AE14*4+'Base Criciúma'!AF14*2+'Base Criciúma'!AG14</f>
        <v>10134.2104194103</v>
      </c>
      <c r="E27" s="283" t="n">
        <f aca="false">'Base Criciúma'!AK14*12+'Base Criciúma'!AL14*4+'Base Criciúma'!AM14*2+'Base Criciúma'!AN14</f>
        <v>13007.2590733131</v>
      </c>
    </row>
    <row r="28" customFormat="false" ht="15" hidden="false" customHeight="true" outlineLevel="0" collapsed="false">
      <c r="B28" s="129" t="str">
        <f aca="false">'Base Criciúma'!B15</f>
        <v>APS URUSSANGA</v>
      </c>
      <c r="C28" s="282" t="n">
        <f aca="false">VLOOKUP(B28,Unidades!$D$5:$G$32,4,)</f>
        <v>0.03</v>
      </c>
      <c r="D28" s="283" t="n">
        <f aca="false">'Base Criciúma'!AD15*12+'Base Criciúma'!AE15*4+'Base Criciúma'!AF15*2+'Base Criciúma'!AG15</f>
        <v>7374.28252986922</v>
      </c>
      <c r="E28" s="283" t="n">
        <f aca="false">'Base Criciúma'!AK15*12+'Base Criciúma'!AL15*4+'Base Criciúma'!AM15*2+'Base Criciúma'!AN15</f>
        <v>9571.08129551726</v>
      </c>
    </row>
    <row r="29" customFormat="false" ht="15" hidden="false" customHeight="true" outlineLevel="0" collapsed="false">
      <c r="B29" s="129" t="str">
        <f aca="false">'Base Criciúma'!B16</f>
        <v>CEDOCPREV CRICIÚMA</v>
      </c>
      <c r="C29" s="282" t="n">
        <f aca="false">VLOOKUP(B29,Unidades!$D$5:$G$32,4,)</f>
        <v>0.04</v>
      </c>
      <c r="D29" s="283" t="n">
        <f aca="false">'Base Criciúma'!AD16*12+'Base Criciúma'!AE16*4+'Base Criciúma'!AF16*2+'Base Criciúma'!AG16</f>
        <v>9267.49219253591</v>
      </c>
      <c r="E29" s="283" t="n">
        <f aca="false">'Base Criciúma'!AK16*12+'Base Criciúma'!AL16*4+'Base Criciúma'!AM16*2+'Base Criciúma'!AN16</f>
        <v>12165.4370011419</v>
      </c>
    </row>
    <row r="30" customFormat="false" ht="15" hidden="false" customHeight="true" outlineLevel="0" collapsed="false">
      <c r="B30" s="129" t="str">
        <f aca="false">'Base Criciúma'!B17</f>
        <v>GEX/APS CRICIÚMA</v>
      </c>
      <c r="C30" s="282" t="n">
        <f aca="false">VLOOKUP(B30,Unidades!$D$5:$G$32,4,)</f>
        <v>0.04</v>
      </c>
      <c r="D30" s="283" t="n">
        <f aca="false">'Base Criciúma'!AD17*12+'Base Criciúma'!AE17*4+'Base Criciúma'!AF17*2+'Base Criciúma'!AG17</f>
        <v>13069.9919393231</v>
      </c>
      <c r="E30" s="283" t="n">
        <f aca="false">'Base Criciúma'!AK17*12+'Base Criciúma'!AL17*4+'Base Criciúma'!AM17*2+'Base Criciúma'!AN17</f>
        <v>17156.9784187494</v>
      </c>
    </row>
    <row r="31" customFormat="false" ht="15" hidden="false" customHeight="true" outlineLevel="0" collapsed="false">
      <c r="B31" s="129" t="str">
        <f aca="false">'Base Criciúma'!B18</f>
        <v>APS IMBITUBA</v>
      </c>
      <c r="C31" s="282" t="n">
        <f aca="false">VLOOKUP(B31,Unidades!$D$5:$G$32,4,)</f>
        <v>0.05</v>
      </c>
      <c r="D31" s="283" t="n">
        <f aca="false">'Base Criciúma'!AD18*12+'Base Criciúma'!AE18*4+'Base Criciúma'!AF18*2+'Base Criciúma'!AG18</f>
        <v>7900.81177986922</v>
      </c>
      <c r="E31" s="283" t="n">
        <f aca="false">'Base Criciúma'!AK18*12+'Base Criciúma'!AL18*4+'Base Criciúma'!AM18*2+'Base Criciúma'!AN18</f>
        <v>10490.6978813103</v>
      </c>
    </row>
    <row r="32" customFormat="false" ht="15" hidden="false" customHeight="true" outlineLevel="0" collapsed="false">
      <c r="B32" s="129" t="str">
        <f aca="false">'Base Criciúma'!B19</f>
        <v>APS SÃO JOAQUIM</v>
      </c>
      <c r="C32" s="282" t="n">
        <f aca="false">VLOOKUP(B32,Unidades!$D$5:$G$32,4,)</f>
        <v>0.03</v>
      </c>
      <c r="D32" s="283" t="n">
        <f aca="false">'Base Criciúma'!AD19*12+'Base Criciúma'!AE19*4+'Base Criciúma'!AF19*2+'Base Criciúma'!AG19</f>
        <v>11615.3657798692</v>
      </c>
      <c r="E32" s="283" t="n">
        <f aca="false">'Base Criciúma'!AK19*12+'Base Criciúma'!AL19*4+'Base Criciúma'!AM19*2+'Base Criciúma'!AN19</f>
        <v>15075.5832456923</v>
      </c>
    </row>
    <row r="33" customFormat="false" ht="15" hidden="false" customHeight="false" outlineLevel="0" collapsed="false">
      <c r="B33" s="279" t="s">
        <v>102</v>
      </c>
      <c r="C33" s="279"/>
      <c r="D33" s="288" t="n">
        <f aca="false">SUM(D5:D32)</f>
        <v>270822.8895</v>
      </c>
      <c r="E33" s="288" t="n">
        <f aca="false">SUM(E5:E32)</f>
        <v>353171.664055112</v>
      </c>
    </row>
  </sheetData>
  <mergeCells count="2">
    <mergeCell ref="B2:M2"/>
    <mergeCell ref="B33:C33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true"/>
  </sheetPr>
  <dimension ref="A1:IP44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K8" activeCellId="0" sqref="K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8.5"/>
    <col collapsed="false" customWidth="true" hidden="false" outlineLevel="0" max="4" min="3" style="18" width="14.75"/>
    <col collapsed="false" customWidth="true" hidden="false" outlineLevel="0" max="5" min="5" style="18" width="15.62"/>
    <col collapsed="false" customWidth="true" hidden="false" outlineLevel="0" max="6" min="6" style="18" width="13.76"/>
    <col collapsed="false" customWidth="true" hidden="false" outlineLevel="0" max="7" min="7" style="18" width="14.87"/>
    <col collapsed="false" customWidth="true" hidden="false" outlineLevel="0" max="8" min="8" style="18" width="14.38"/>
    <col collapsed="false" customWidth="true" hidden="false" outlineLevel="0" max="9" min="9" style="19" width="14"/>
    <col collapsed="false" customWidth="true" hidden="false" outlineLevel="0" max="10" min="10" style="18" width="14.87"/>
    <col collapsed="false" customWidth="true" hidden="false" outlineLevel="0" max="249" min="11" style="18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"PLANILHA RESUMO "&amp;'Valor da Contratação'!B7&amp;""</f>
        <v>PLANILHA RESUMO POLO V</v>
      </c>
      <c r="C2" s="20"/>
      <c r="D2" s="20"/>
      <c r="E2" s="20"/>
      <c r="F2" s="20"/>
      <c r="G2" s="20"/>
      <c r="H2" s="20"/>
      <c r="I2" s="20"/>
      <c r="J2" s="21"/>
    </row>
    <row r="3" customFormat="false" ht="15" hidden="false" customHeight="true" outlineLevel="0" collapsed="false">
      <c r="B3" s="2"/>
      <c r="H3" s="2"/>
      <c r="I3" s="22"/>
    </row>
    <row r="4" customFormat="false" ht="46.5" hidden="false" customHeight="true" outlineLevel="0" collapsed="false">
      <c r="B4" s="23" t="s">
        <v>13</v>
      </c>
      <c r="C4" s="23" t="s">
        <v>14</v>
      </c>
      <c r="D4" s="23" t="s">
        <v>15</v>
      </c>
      <c r="E4" s="23" t="s">
        <v>16</v>
      </c>
      <c r="F4" s="23" t="s">
        <v>17</v>
      </c>
      <c r="G4" s="23" t="s">
        <v>18</v>
      </c>
      <c r="H4" s="23" t="s">
        <v>19</v>
      </c>
      <c r="I4" s="23" t="s">
        <v>20</v>
      </c>
    </row>
    <row r="5" customFormat="false" ht="19.5" hidden="false" customHeight="true" outlineLevel="0" collapsed="false">
      <c r="B5" s="24" t="s">
        <v>21</v>
      </c>
      <c r="C5" s="25" t="n">
        <f aca="false">'Base Florianópolis'!C22</f>
        <v>26372.32</v>
      </c>
      <c r="D5" s="26" t="n">
        <f aca="false">'Base Florianópolis'!AT10</f>
        <v>16954.1259226016</v>
      </c>
      <c r="E5" s="26" t="n">
        <f aca="false">D5*12</f>
        <v>203449.511071219</v>
      </c>
      <c r="F5" s="26" t="n">
        <f aca="false">'Base Florianópolis'!AT12</f>
        <v>50862.3777678048</v>
      </c>
      <c r="G5" s="26" t="n">
        <f aca="false">F5*12</f>
        <v>610348.533213658</v>
      </c>
      <c r="H5" s="26" t="n">
        <f aca="false">D5+F5</f>
        <v>67816.5036904064</v>
      </c>
      <c r="I5" s="26" t="n">
        <f aca="false">H5*12</f>
        <v>813798.044284877</v>
      </c>
    </row>
    <row r="6" customFormat="false" ht="19.5" hidden="false" customHeight="true" outlineLevel="0" collapsed="false">
      <c r="B6" s="24" t="s">
        <v>22</v>
      </c>
      <c r="C6" s="25" t="n">
        <f aca="false">'Base Criciúma'!C20</f>
        <v>14773.32</v>
      </c>
      <c r="D6" s="26" t="n">
        <f aca="false">'Base Criciúma'!AT10</f>
        <v>12476.846081991</v>
      </c>
      <c r="E6" s="26" t="n">
        <f aca="false">D6*12</f>
        <v>149722.152983892</v>
      </c>
      <c r="F6" s="26" t="n">
        <f aca="false">'Base Criciúma'!AT12</f>
        <v>37430.5382459731</v>
      </c>
      <c r="G6" s="26" t="n">
        <f aca="false">F6*12</f>
        <v>449166.458951677</v>
      </c>
      <c r="H6" s="26" t="n">
        <f aca="false">D6+F6</f>
        <v>49907.3843279641</v>
      </c>
      <c r="I6" s="26" t="n">
        <f aca="false">H6*12</f>
        <v>598888.61193557</v>
      </c>
    </row>
    <row r="7" customFormat="false" ht="19.5" hidden="false" customHeight="true" outlineLevel="0" collapsed="false">
      <c r="B7" s="27" t="str">
        <f aca="false">"TOTAL "&amp;'Valor da Contratação'!B7&amp;""</f>
        <v>TOTAL POLO V</v>
      </c>
      <c r="C7" s="28" t="n">
        <f aca="false">SUM(C5:C6)</f>
        <v>41145.64</v>
      </c>
      <c r="D7" s="29" t="n">
        <f aca="false">SUM(D5:D6)</f>
        <v>29430.9720045926</v>
      </c>
      <c r="E7" s="29" t="n">
        <f aca="false">SUM(E5:E6)</f>
        <v>353171.664055112</v>
      </c>
      <c r="F7" s="29" t="n">
        <f aca="false">SUM(F5:F6)</f>
        <v>88292.9160137779</v>
      </c>
      <c r="G7" s="29" t="n">
        <f aca="false">SUM(G5:G6)</f>
        <v>1059514.99216534</v>
      </c>
      <c r="H7" s="29" t="n">
        <f aca="false">SUM(H5:H6)</f>
        <v>117723.888018371</v>
      </c>
      <c r="I7" s="29" t="n">
        <f aca="false">SUM(I5:I6)</f>
        <v>1412686.65622045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30"/>
      <c r="H8" s="2"/>
      <c r="I8" s="22"/>
    </row>
    <row r="9" s="31" customFormat="true" ht="27" hidden="false" customHeight="true" outlineLevel="0" collapsed="false">
      <c r="B9" s="32" t="str">
        <f aca="false">"BASE "&amp;B5</f>
        <v>BASE FLORIANÓPOLIS</v>
      </c>
      <c r="C9" s="33" t="s">
        <v>23</v>
      </c>
      <c r="D9" s="33"/>
      <c r="E9" s="33"/>
      <c r="F9" s="33" t="s">
        <v>24</v>
      </c>
      <c r="G9" s="33"/>
      <c r="H9" s="33"/>
      <c r="I9" s="34" t="s">
        <v>25</v>
      </c>
      <c r="IP9" s="35"/>
    </row>
    <row r="10" s="31" customFormat="true" ht="22.5" hidden="false" customHeight="true" outlineLevel="0" collapsed="false">
      <c r="B10" s="32"/>
      <c r="C10" s="36" t="s">
        <v>26</v>
      </c>
      <c r="D10" s="36" t="s">
        <v>27</v>
      </c>
      <c r="E10" s="36" t="s">
        <v>28</v>
      </c>
      <c r="F10" s="37" t="s">
        <v>26</v>
      </c>
      <c r="G10" s="37" t="s">
        <v>27</v>
      </c>
      <c r="H10" s="37" t="s">
        <v>28</v>
      </c>
      <c r="I10" s="37" t="s">
        <v>29</v>
      </c>
      <c r="IP10" s="35"/>
    </row>
    <row r="11" customFormat="false" ht="16.5" hidden="false" customHeight="true" outlineLevel="0" collapsed="false">
      <c r="B11" s="24" t="str">
        <f aca="false">'Base Florianópolis'!B7</f>
        <v>APS ALFREDO WAGNER</v>
      </c>
      <c r="C11" s="26" t="n">
        <f aca="false">'Base Florianópolis'!AO7</f>
        <v>1346.0555290092</v>
      </c>
      <c r="D11" s="26" t="n">
        <f aca="false">C11*3</f>
        <v>4038.16658702759</v>
      </c>
      <c r="E11" s="26" t="n">
        <f aca="false">C11+D11</f>
        <v>5384.22211603678</v>
      </c>
      <c r="F11" s="26" t="n">
        <f aca="false">C11*12</f>
        <v>16152.6663481103</v>
      </c>
      <c r="G11" s="26" t="n">
        <f aca="false">F11*3</f>
        <v>48457.999044331</v>
      </c>
      <c r="H11" s="26" t="n">
        <f aca="false">F11+G11</f>
        <v>64610.6653924414</v>
      </c>
      <c r="I11" s="38" t="n">
        <f aca="false">F11/$E$7</f>
        <v>0.0457360201626758</v>
      </c>
    </row>
    <row r="12" customFormat="false" ht="16.5" hidden="false" customHeight="true" outlineLevel="0" collapsed="false">
      <c r="B12" s="24" t="str">
        <f aca="false">'Base Florianópolis'!B8</f>
        <v>APS BI – FLORIANÓPOLIS</v>
      </c>
      <c r="C12" s="26" t="n">
        <f aca="false">'Base Florianópolis'!AO8</f>
        <v>1141.46880766155</v>
      </c>
      <c r="D12" s="26" t="n">
        <f aca="false">C12*3</f>
        <v>3424.40642298465</v>
      </c>
      <c r="E12" s="26" t="n">
        <f aca="false">C12+D12</f>
        <v>4565.8752306462</v>
      </c>
      <c r="F12" s="26" t="n">
        <f aca="false">C12*12</f>
        <v>13697.6256919386</v>
      </c>
      <c r="G12" s="26" t="n">
        <f aca="false">F12*3</f>
        <v>41092.8770758158</v>
      </c>
      <c r="H12" s="26" t="n">
        <f aca="false">F12+G12</f>
        <v>54790.5027677544</v>
      </c>
      <c r="I12" s="38" t="n">
        <f aca="false">F12/$E$7</f>
        <v>0.0387846112416344</v>
      </c>
    </row>
    <row r="13" customFormat="false" ht="16.5" hidden="false" customHeight="true" outlineLevel="0" collapsed="false">
      <c r="B13" s="24" t="str">
        <f aca="false">'Base Florianópolis'!B9</f>
        <v>APS BIGUAÇU</v>
      </c>
      <c r="C13" s="26" t="n">
        <f aca="false">'Base Florianópolis'!AO9</f>
        <v>701.238541517529</v>
      </c>
      <c r="D13" s="26" t="n">
        <f aca="false">C13*3</f>
        <v>2103.71562455259</v>
      </c>
      <c r="E13" s="26" t="n">
        <f aca="false">C13+D13</f>
        <v>2804.95416607011</v>
      </c>
      <c r="F13" s="26" t="n">
        <f aca="false">C13*12</f>
        <v>8414.86249821035</v>
      </c>
      <c r="G13" s="26" t="n">
        <f aca="false">F13*3</f>
        <v>25244.587494631</v>
      </c>
      <c r="H13" s="26" t="n">
        <f aca="false">F13+G13</f>
        <v>33659.4499928414</v>
      </c>
      <c r="I13" s="38" t="n">
        <f aca="false">F13/$E$7</f>
        <v>0.0238265505267071</v>
      </c>
    </row>
    <row r="14" customFormat="false" ht="16.5" hidden="false" customHeight="true" outlineLevel="0" collapsed="false">
      <c r="B14" s="24" t="str">
        <f aca="false">'Base Florianópolis'!B10</f>
        <v>APS CURITIBANOS</v>
      </c>
      <c r="C14" s="26" t="n">
        <f aca="false">'Base Florianópolis'!AO10</f>
        <v>2770.64667119633</v>
      </c>
      <c r="D14" s="26" t="n">
        <f aca="false">C14*3</f>
        <v>8311.940013589</v>
      </c>
      <c r="E14" s="26" t="n">
        <f aca="false">C14+D14</f>
        <v>11082.5866847853</v>
      </c>
      <c r="F14" s="26" t="n">
        <f aca="false">C14*12</f>
        <v>33247.760054356</v>
      </c>
      <c r="G14" s="26" t="n">
        <f aca="false">F14*3</f>
        <v>99743.280163068</v>
      </c>
      <c r="H14" s="26" t="n">
        <f aca="false">F14+G14</f>
        <v>132991.040217424</v>
      </c>
      <c r="I14" s="38" t="n">
        <f aca="false">F14/$E$7</f>
        <v>0.0941405085351574</v>
      </c>
    </row>
    <row r="15" customFormat="false" ht="16.5" hidden="false" customHeight="true" outlineLevel="0" collapsed="false">
      <c r="B15" s="24" t="str">
        <f aca="false">'Base Florianópolis'!B11</f>
        <v>DEPÓSITO FLORIANÓPOLIS - CONTINENTE</v>
      </c>
      <c r="C15" s="26" t="n">
        <f aca="false">'Base Florianópolis'!AO11</f>
        <v>1119.94653413586</v>
      </c>
      <c r="D15" s="26" t="n">
        <f aca="false">C15*3</f>
        <v>3359.83960240757</v>
      </c>
      <c r="E15" s="26" t="n">
        <f aca="false">C15+D15</f>
        <v>4479.78613654342</v>
      </c>
      <c r="F15" s="26" t="n">
        <f aca="false">C15*12</f>
        <v>13439.3584096303</v>
      </c>
      <c r="G15" s="26" t="n">
        <f aca="false">F15*3</f>
        <v>40318.0752288908</v>
      </c>
      <c r="H15" s="26" t="n">
        <f aca="false">F15+G15</f>
        <v>53757.4336385211</v>
      </c>
      <c r="I15" s="38" t="n">
        <f aca="false">F15/$E$7</f>
        <v>0.0380533315026459</v>
      </c>
    </row>
    <row r="16" customFormat="false" ht="16.5" hidden="false" customHeight="true" outlineLevel="0" collapsed="false">
      <c r="B16" s="24" t="str">
        <f aca="false">'Base Florianópolis'!B12</f>
        <v>APS ITAPEMA</v>
      </c>
      <c r="C16" s="26" t="n">
        <f aca="false">'Base Florianópolis'!AO12</f>
        <v>787.409054742529</v>
      </c>
      <c r="D16" s="26" t="n">
        <f aca="false">C16*3</f>
        <v>2362.22716422759</v>
      </c>
      <c r="E16" s="26" t="n">
        <f aca="false">C16+D16</f>
        <v>3149.63621897011</v>
      </c>
      <c r="F16" s="26" t="n">
        <f aca="false">C16*12</f>
        <v>9448.90865691034</v>
      </c>
      <c r="G16" s="26" t="n">
        <f aca="false">F16*3</f>
        <v>28346.725970731</v>
      </c>
      <c r="H16" s="26" t="n">
        <f aca="false">F16+G16</f>
        <v>37795.6346276414</v>
      </c>
      <c r="I16" s="38" t="n">
        <f aca="false">F16/$E$7</f>
        <v>0.0267544359261955</v>
      </c>
    </row>
    <row r="17" customFormat="false" ht="15.75" hidden="false" customHeight="true" outlineLevel="0" collapsed="false">
      <c r="B17" s="24" t="str">
        <f aca="false">'Base Florianópolis'!B13</f>
        <v>APS LAGES</v>
      </c>
      <c r="C17" s="26" t="n">
        <f aca="false">'Base Florianópolis'!AO13</f>
        <v>1618.89921999137</v>
      </c>
      <c r="D17" s="26" t="n">
        <f aca="false">C17*3</f>
        <v>4856.6976599741</v>
      </c>
      <c r="E17" s="26" t="n">
        <f aca="false">C17+D17</f>
        <v>6475.59687996547</v>
      </c>
      <c r="F17" s="26" t="n">
        <f aca="false">C17*12</f>
        <v>19426.7906398964</v>
      </c>
      <c r="G17" s="26" t="n">
        <f aca="false">F17*3</f>
        <v>58280.3719196892</v>
      </c>
      <c r="H17" s="26" t="n">
        <f aca="false">F17+G17</f>
        <v>77707.1625595857</v>
      </c>
      <c r="I17" s="38" t="n">
        <f aca="false">F17/$E$7</f>
        <v>0.0550066514873767</v>
      </c>
    </row>
    <row r="18" customFormat="false" ht="16.5" hidden="false" customHeight="true" outlineLevel="0" collapsed="false">
      <c r="B18" s="24" t="str">
        <f aca="false">'Base Florianópolis'!B14</f>
        <v>APS PALHOÇA</v>
      </c>
      <c r="C18" s="26" t="n">
        <f aca="false">'Base Florianópolis'!AO14</f>
        <v>672.146465205178</v>
      </c>
      <c r="D18" s="26" t="n">
        <f aca="false">C18*3</f>
        <v>2016.43939561554</v>
      </c>
      <c r="E18" s="26" t="n">
        <f aca="false">C18+D18</f>
        <v>2688.58586082071</v>
      </c>
      <c r="F18" s="26" t="n">
        <f aca="false">C18*12</f>
        <v>8065.75758246214</v>
      </c>
      <c r="G18" s="26" t="n">
        <f aca="false">F18*3</f>
        <v>24197.2727473864</v>
      </c>
      <c r="H18" s="26" t="n">
        <f aca="false">F18+G18</f>
        <v>32263.0303298486</v>
      </c>
      <c r="I18" s="38" t="n">
        <f aca="false">F18/$E$7</f>
        <v>0.0228380654604371</v>
      </c>
    </row>
    <row r="19" customFormat="false" ht="16.5" hidden="false" customHeight="true" outlineLevel="0" collapsed="false">
      <c r="B19" s="24" t="str">
        <f aca="false">'Base Florianópolis'!B15</f>
        <v>APS SÃO JOSÉ</v>
      </c>
      <c r="C19" s="26" t="n">
        <f aca="false">'Base Florianópolis'!AO15</f>
        <v>660.242386634905</v>
      </c>
      <c r="D19" s="26" t="n">
        <f aca="false">C19*3</f>
        <v>1980.72715990472</v>
      </c>
      <c r="E19" s="26" t="n">
        <f aca="false">C19+D19</f>
        <v>2640.96954653962</v>
      </c>
      <c r="F19" s="26" t="n">
        <f aca="false">C19*12</f>
        <v>7922.90863961886</v>
      </c>
      <c r="G19" s="26" t="n">
        <f aca="false">F19*3</f>
        <v>23768.7259188566</v>
      </c>
      <c r="H19" s="26" t="n">
        <f aca="false">F19+G19</f>
        <v>31691.6345584755</v>
      </c>
      <c r="I19" s="38" t="n">
        <f aca="false">F19/$E$7</f>
        <v>0.0224335909303939</v>
      </c>
    </row>
    <row r="20" customFormat="false" ht="16.5" hidden="false" customHeight="true" outlineLevel="0" collapsed="false">
      <c r="B20" s="24" t="str">
        <f aca="false">'Base Florianópolis'!B16</f>
        <v>APS TIJUCAS</v>
      </c>
      <c r="C20" s="26" t="n">
        <f aca="false">'Base Florianópolis'!AO16</f>
        <v>761.138365538512</v>
      </c>
      <c r="D20" s="26" t="n">
        <f aca="false">C20*3</f>
        <v>2283.41509661554</v>
      </c>
      <c r="E20" s="26" t="n">
        <f aca="false">C20+D20</f>
        <v>3044.55346215405</v>
      </c>
      <c r="F20" s="26" t="n">
        <f aca="false">C20*12</f>
        <v>9133.66038646214</v>
      </c>
      <c r="G20" s="26" t="n">
        <f aca="false">F20*3</f>
        <v>27400.9811593864</v>
      </c>
      <c r="H20" s="26" t="n">
        <f aca="false">F20+G20</f>
        <v>36534.6415458486</v>
      </c>
      <c r="I20" s="38" t="n">
        <f aca="false">F20/$E$7</f>
        <v>0.0258618154174364</v>
      </c>
    </row>
    <row r="21" customFormat="false" ht="16.5" hidden="false" customHeight="true" outlineLevel="0" collapsed="false">
      <c r="B21" s="24" t="str">
        <f aca="false">'Base Florianópolis'!B17</f>
        <v>CEDOC PALHOÇA</v>
      </c>
      <c r="C21" s="26" t="n">
        <f aca="false">'Base Florianópolis'!AO17</f>
        <v>672.146465205178</v>
      </c>
      <c r="D21" s="26" t="n">
        <f aca="false">C21*3</f>
        <v>2016.43939561554</v>
      </c>
      <c r="E21" s="26" t="n">
        <f aca="false">C21+D21</f>
        <v>2688.58586082071</v>
      </c>
      <c r="F21" s="26" t="n">
        <f aca="false">C21*12</f>
        <v>8065.75758246214</v>
      </c>
      <c r="G21" s="26" t="n">
        <f aca="false">F21*3</f>
        <v>24197.2727473864</v>
      </c>
      <c r="H21" s="26" t="n">
        <f aca="false">F21+G21</f>
        <v>32263.0303298486</v>
      </c>
      <c r="I21" s="38" t="n">
        <f aca="false">F21/$E$7</f>
        <v>0.0228380654604371</v>
      </c>
    </row>
    <row r="22" customFormat="false" ht="16.5" hidden="false" customHeight="true" outlineLevel="0" collapsed="false">
      <c r="B22" s="24" t="str">
        <f aca="false">'Base Florianópolis'!B18</f>
        <v>GALPÕES AV. MAURO RAMOS</v>
      </c>
      <c r="C22" s="26" t="n">
        <f aca="false">'Base Florianópolis'!AO18</f>
        <v>978.446683555076</v>
      </c>
      <c r="D22" s="26" t="n">
        <f aca="false">C22*3</f>
        <v>2935.34005066523</v>
      </c>
      <c r="E22" s="26" t="n">
        <f aca="false">C22+D22</f>
        <v>3913.7867342203</v>
      </c>
      <c r="F22" s="26" t="n">
        <f aca="false">C22*12</f>
        <v>11741.3602026609</v>
      </c>
      <c r="G22" s="26" t="n">
        <f aca="false">F22*3</f>
        <v>35224.0806079827</v>
      </c>
      <c r="H22" s="26" t="n">
        <f aca="false">F22+G22</f>
        <v>46965.4408106436</v>
      </c>
      <c r="I22" s="38" t="n">
        <f aca="false">F22/$E$7</f>
        <v>0.0332454763438459</v>
      </c>
    </row>
    <row r="23" customFormat="false" ht="16.5" hidden="false" customHeight="true" outlineLevel="0" collapsed="false">
      <c r="B23" s="24" t="str">
        <f aca="false">'Base Florianópolis'!B19</f>
        <v>GEX/APS FLORIANÓPOLIS</v>
      </c>
      <c r="C23" s="26" t="n">
        <f aca="false">'Base Florianópolis'!AO19</f>
        <v>1533.60612189237</v>
      </c>
      <c r="D23" s="26" t="n">
        <f aca="false">C23*3</f>
        <v>4600.81836567711</v>
      </c>
      <c r="E23" s="26" t="n">
        <f aca="false">C23+D23</f>
        <v>6134.42448756948</v>
      </c>
      <c r="F23" s="26" t="n">
        <f aca="false">C23*12</f>
        <v>18403.2734627084</v>
      </c>
      <c r="G23" s="26" t="n">
        <f aca="false">F23*3</f>
        <v>55209.8203881253</v>
      </c>
      <c r="H23" s="26" t="n">
        <f aca="false">F23+G23</f>
        <v>73613.0938508337</v>
      </c>
      <c r="I23" s="38" t="n">
        <f aca="false">F23/$E$7</f>
        <v>0.0521085787330793</v>
      </c>
    </row>
    <row r="24" customFormat="false" ht="16.5" hidden="false" customHeight="true" outlineLevel="0" collapsed="false">
      <c r="B24" s="24" t="str">
        <f aca="false">'Base Florianópolis'!B20</f>
        <v>SALAS EMEDAUX</v>
      </c>
      <c r="C24" s="26" t="n">
        <f aca="false">'Base Florianópolis'!AO20</f>
        <v>657.12895442366</v>
      </c>
      <c r="D24" s="26" t="n">
        <f aca="false">C24*3</f>
        <v>1971.38686327098</v>
      </c>
      <c r="E24" s="26" t="n">
        <f aca="false">C24+D24</f>
        <v>2628.51581769464</v>
      </c>
      <c r="F24" s="26" t="n">
        <f aca="false">C24*12</f>
        <v>7885.54745308392</v>
      </c>
      <c r="G24" s="26" t="n">
        <f aca="false">F24*3</f>
        <v>23656.6423592518</v>
      </c>
      <c r="H24" s="26" t="n">
        <f aca="false">F24+G24</f>
        <v>31542.1898123357</v>
      </c>
      <c r="I24" s="38" t="n">
        <f aca="false">F24/$E$7</f>
        <v>0.0223278033196157</v>
      </c>
    </row>
    <row r="25" customFormat="false" ht="16.5" hidden="false" customHeight="true" outlineLevel="0" collapsed="false">
      <c r="B25" s="24" t="str">
        <f aca="false">'Base Florianópolis'!B21</f>
        <v>SEDE DA SUPERINTENDÊNCIA</v>
      </c>
      <c r="C25" s="26" t="n">
        <f aca="false">'Base Florianópolis'!AO21</f>
        <v>1533.60612189237</v>
      </c>
      <c r="D25" s="26" t="n">
        <f aca="false">C25*3</f>
        <v>4600.81836567711</v>
      </c>
      <c r="E25" s="26" t="n">
        <f aca="false">C25+D25</f>
        <v>6134.42448756948</v>
      </c>
      <c r="F25" s="26" t="n">
        <f aca="false">C25*12</f>
        <v>18403.2734627084</v>
      </c>
      <c r="G25" s="26" t="n">
        <f aca="false">F25*3</f>
        <v>55209.8203881253</v>
      </c>
      <c r="H25" s="26" t="n">
        <f aca="false">F25+G25</f>
        <v>73613.0938508337</v>
      </c>
      <c r="I25" s="38" t="n">
        <f aca="false">F25/$E$7</f>
        <v>0.0521085787330793</v>
      </c>
    </row>
    <row r="26" customFormat="false" ht="22.5" hidden="false" customHeight="true" outlineLevel="0" collapsed="false">
      <c r="B26" s="39" t="str">
        <f aca="false">"Total Base "&amp;B5</f>
        <v>Total Base FLORIANÓPOLIS</v>
      </c>
      <c r="C26" s="39" t="n">
        <f aca="false">SUM(C11:C25)</f>
        <v>16954.1259226016</v>
      </c>
      <c r="D26" s="39" t="n">
        <f aca="false">SUM(D11:D25)</f>
        <v>50862.3777678048</v>
      </c>
      <c r="E26" s="39" t="n">
        <f aca="false">SUM(E11:E25)</f>
        <v>67816.5036904064</v>
      </c>
      <c r="F26" s="39" t="n">
        <f aca="false">SUM(F11:F25)</f>
        <v>203449.511071219</v>
      </c>
      <c r="G26" s="39" t="n">
        <f aca="false">SUM(G11:G25)</f>
        <v>610348.533213658</v>
      </c>
      <c r="H26" s="39" t="n">
        <f aca="false">SUM(H11:H25)</f>
        <v>813798.044284877</v>
      </c>
      <c r="I26" s="40" t="n">
        <f aca="false">SUM(I11:I25)</f>
        <v>0.576064083780718</v>
      </c>
    </row>
    <row r="27" customFormat="false" ht="22.5" hidden="false" customHeight="true" outlineLevel="0" collapsed="false">
      <c r="B27" s="41"/>
      <c r="C27" s="41"/>
      <c r="D27" s="41"/>
      <c r="E27" s="41"/>
      <c r="F27" s="41"/>
      <c r="G27" s="41"/>
      <c r="H27" s="41"/>
      <c r="I27" s="42"/>
    </row>
    <row r="28" s="31" customFormat="true" ht="27.75" hidden="false" customHeight="true" outlineLevel="0" collapsed="false">
      <c r="B28" s="32" t="str">
        <f aca="false">"BASE "&amp;B6</f>
        <v>BASE CRICIÚMA</v>
      </c>
      <c r="C28" s="33" t="s">
        <v>23</v>
      </c>
      <c r="D28" s="33"/>
      <c r="E28" s="33"/>
      <c r="F28" s="33" t="s">
        <v>24</v>
      </c>
      <c r="G28" s="33"/>
      <c r="H28" s="33"/>
      <c r="I28" s="34" t="s">
        <v>25</v>
      </c>
      <c r="IP28" s="35"/>
    </row>
    <row r="29" s="31" customFormat="true" ht="22.5" hidden="false" customHeight="true" outlineLevel="0" collapsed="false">
      <c r="B29" s="32"/>
      <c r="C29" s="36" t="s">
        <v>26</v>
      </c>
      <c r="D29" s="36" t="s">
        <v>27</v>
      </c>
      <c r="E29" s="36" t="s">
        <v>28</v>
      </c>
      <c r="F29" s="37" t="s">
        <v>26</v>
      </c>
      <c r="G29" s="37" t="s">
        <v>27</v>
      </c>
      <c r="H29" s="37" t="s">
        <v>28</v>
      </c>
      <c r="I29" s="37" t="s">
        <v>29</v>
      </c>
      <c r="IP29" s="35"/>
    </row>
    <row r="30" customFormat="false" ht="16.5" hidden="false" customHeight="true" outlineLevel="0" collapsed="false">
      <c r="B30" s="24" t="str">
        <f aca="false">'Base Criciúma'!B7</f>
        <v>APS ARARANGUÁ</v>
      </c>
      <c r="C30" s="26" t="n">
        <f aca="false">'Base Criciúma'!AO7</f>
        <v>1231.93540300252</v>
      </c>
      <c r="D30" s="26" t="n">
        <f aca="false">C30*3</f>
        <v>3695.80620900757</v>
      </c>
      <c r="E30" s="26" t="n">
        <f aca="false">C30+D30</f>
        <v>4927.74161201009</v>
      </c>
      <c r="F30" s="26" t="n">
        <f aca="false">C30*12</f>
        <v>14783.2248360303</v>
      </c>
      <c r="G30" s="26" t="n">
        <f aca="false">F30*3</f>
        <v>44349.6745080908</v>
      </c>
      <c r="H30" s="26" t="n">
        <f aca="false">F30+G30</f>
        <v>59132.8993441211</v>
      </c>
      <c r="I30" s="38" t="n">
        <f aca="false">F30/$E$7</f>
        <v>0.0418584681066694</v>
      </c>
    </row>
    <row r="31" customFormat="false" ht="16.5" hidden="false" customHeight="true" outlineLevel="0" collapsed="false">
      <c r="B31" s="24" t="str">
        <f aca="false">'Base Criciúma'!B8</f>
        <v>APS BRAÇO DO NORTE</v>
      </c>
      <c r="C31" s="26" t="n">
        <f aca="false">'Base Criciúma'!AO8</f>
        <v>914.458825389451</v>
      </c>
      <c r="D31" s="26" t="n">
        <f aca="false">C31*3</f>
        <v>2743.37647616835</v>
      </c>
      <c r="E31" s="26" t="n">
        <f aca="false">C31+D31</f>
        <v>3657.8353015578</v>
      </c>
      <c r="F31" s="26" t="n">
        <f aca="false">C31*12</f>
        <v>10973.5059046734</v>
      </c>
      <c r="G31" s="26" t="n">
        <f aca="false">F31*3</f>
        <v>32920.5177140202</v>
      </c>
      <c r="H31" s="26" t="n">
        <f aca="false">F31+G31</f>
        <v>43894.0236186936</v>
      </c>
      <c r="I31" s="38" t="n">
        <f aca="false">F31/$E$7</f>
        <v>0.0310713090021883</v>
      </c>
    </row>
    <row r="32" customFormat="false" ht="16.5" hidden="false" customHeight="true" outlineLevel="0" collapsed="false">
      <c r="B32" s="24" t="str">
        <f aca="false">'Base Criciúma'!B9</f>
        <v>APS CAPIVARI DE BAIXO</v>
      </c>
      <c r="C32" s="26" t="n">
        <f aca="false">'Base Criciúma'!AO9</f>
        <v>774.781579481299</v>
      </c>
      <c r="D32" s="26" t="n">
        <f aca="false">C32*3</f>
        <v>2324.3447384439</v>
      </c>
      <c r="E32" s="26" t="n">
        <f aca="false">C32+D32</f>
        <v>3099.1263179252</v>
      </c>
      <c r="F32" s="26" t="n">
        <f aca="false">C32*12</f>
        <v>9297.37895377559</v>
      </c>
      <c r="G32" s="26" t="n">
        <f aca="false">F32*3</f>
        <v>27892.1368613268</v>
      </c>
      <c r="H32" s="26" t="n">
        <f aca="false">F32+G32</f>
        <v>37189.5158151024</v>
      </c>
      <c r="I32" s="38" t="n">
        <f aca="false">F32/$E$7</f>
        <v>0.0263253819602151</v>
      </c>
    </row>
    <row r="33" customFormat="false" ht="16.5" hidden="false" customHeight="true" outlineLevel="0" collapsed="false">
      <c r="B33" s="24" t="str">
        <f aca="false">'Base Criciúma'!B10</f>
        <v>APS FORQUILHINHA</v>
      </c>
      <c r="C33" s="26" t="n">
        <f aca="false">'Base Criciúma'!AO10</f>
        <v>720.826518169527</v>
      </c>
      <c r="D33" s="26" t="n">
        <f aca="false">C33*3</f>
        <v>2162.47955450858</v>
      </c>
      <c r="E33" s="26" t="n">
        <f aca="false">C33+D33</f>
        <v>2883.30607267811</v>
      </c>
      <c r="F33" s="26" t="n">
        <f aca="false">C33*12</f>
        <v>8649.91821803432</v>
      </c>
      <c r="G33" s="26" t="n">
        <f aca="false">F33*3</f>
        <v>25949.754654103</v>
      </c>
      <c r="H33" s="26" t="n">
        <f aca="false">F33+G33</f>
        <v>34599.6728721373</v>
      </c>
      <c r="I33" s="38" t="n">
        <f aca="false">F33/$E$7</f>
        <v>0.024492107092387</v>
      </c>
    </row>
    <row r="34" customFormat="false" ht="16.5" hidden="false" customHeight="true" outlineLevel="0" collapsed="false">
      <c r="B34" s="24" t="str">
        <f aca="false">'Base Criciúma'!B11</f>
        <v>APS IÇARA</v>
      </c>
      <c r="C34" s="26" t="n">
        <f aca="false">'Base Criciúma'!AO11</f>
        <v>729.118192142529</v>
      </c>
      <c r="D34" s="26" t="n">
        <f aca="false">C34*3</f>
        <v>2187.35457642759</v>
      </c>
      <c r="E34" s="26" t="n">
        <f aca="false">C34+D34</f>
        <v>2916.47276857012</v>
      </c>
      <c r="F34" s="26" t="n">
        <f aca="false">C34*12</f>
        <v>8749.41830571035</v>
      </c>
      <c r="G34" s="26" t="n">
        <f aca="false">F34*3</f>
        <v>26248.254917131</v>
      </c>
      <c r="H34" s="26" t="n">
        <f aca="false">F34+G34</f>
        <v>34997.6732228414</v>
      </c>
      <c r="I34" s="38" t="n">
        <f aca="false">F34/$E$7</f>
        <v>0.0247738400222987</v>
      </c>
    </row>
    <row r="35" customFormat="false" ht="16.5" hidden="false" customHeight="true" outlineLevel="0" collapsed="false">
      <c r="B35" s="24" t="str">
        <f aca="false">'Base Criciúma'!B12</f>
        <v>APS LAGUNA</v>
      </c>
      <c r="C35" s="26" t="n">
        <f aca="false">'Base Criciúma'!AO12</f>
        <v>874.224823442529</v>
      </c>
      <c r="D35" s="26" t="n">
        <f aca="false">C35*3</f>
        <v>2622.67447032759</v>
      </c>
      <c r="E35" s="26" t="n">
        <f aca="false">C35+D35</f>
        <v>3496.89929377012</v>
      </c>
      <c r="F35" s="26" t="n">
        <f aca="false">C35*12</f>
        <v>10490.6978813103</v>
      </c>
      <c r="G35" s="26" t="n">
        <f aca="false">F35*3</f>
        <v>31472.093643931</v>
      </c>
      <c r="H35" s="26" t="n">
        <f aca="false">F35+G35</f>
        <v>41962.7915252414</v>
      </c>
      <c r="I35" s="38" t="n">
        <f aca="false">F35/$E$7</f>
        <v>0.0297042456941656</v>
      </c>
    </row>
    <row r="36" customFormat="false" ht="16.5" hidden="false" customHeight="true" outlineLevel="0" collapsed="false">
      <c r="B36" s="24" t="str">
        <f aca="false">'Base Criciúma'!B13</f>
        <v>APS SOMBRIO</v>
      </c>
      <c r="C36" s="26" t="n">
        <f aca="false">'Base Criciúma'!AO13</f>
        <v>775.914330719494</v>
      </c>
      <c r="D36" s="26" t="n">
        <f aca="false">C36*3</f>
        <v>2327.74299215848</v>
      </c>
      <c r="E36" s="26" t="n">
        <f aca="false">C36+D36</f>
        <v>3103.65732287797</v>
      </c>
      <c r="F36" s="26" t="n">
        <f aca="false">C36*12</f>
        <v>9310.97196863392</v>
      </c>
      <c r="G36" s="26" t="n">
        <f aca="false">F36*3</f>
        <v>27932.9159059018</v>
      </c>
      <c r="H36" s="26" t="n">
        <f aca="false">F36+G36</f>
        <v>37243.8878745357</v>
      </c>
      <c r="I36" s="38" t="n">
        <f aca="false">F36/$E$7</f>
        <v>0.0263638703675303</v>
      </c>
    </row>
    <row r="37" customFormat="false" ht="16.5" hidden="false" customHeight="true" outlineLevel="0" collapsed="false">
      <c r="B37" s="24" t="str">
        <f aca="false">'Base Criciúma'!B14</f>
        <v>APS TUBARÃO</v>
      </c>
      <c r="C37" s="26" t="n">
        <f aca="false">'Base Criciúma'!AO14</f>
        <v>1083.93825610942</v>
      </c>
      <c r="D37" s="26" t="n">
        <f aca="false">C37*3</f>
        <v>3251.81476832827</v>
      </c>
      <c r="E37" s="26" t="n">
        <f aca="false">C37+D37</f>
        <v>4335.75302443769</v>
      </c>
      <c r="F37" s="26" t="n">
        <f aca="false">C37*12</f>
        <v>13007.2590733131</v>
      </c>
      <c r="G37" s="26" t="n">
        <f aca="false">F37*3</f>
        <v>39021.7772199392</v>
      </c>
      <c r="H37" s="26" t="n">
        <f aca="false">F37+G37</f>
        <v>52029.0362932523</v>
      </c>
      <c r="I37" s="38" t="n">
        <f aca="false">F37/$E$7</f>
        <v>0.0368298490427118</v>
      </c>
    </row>
    <row r="38" customFormat="false" ht="16.5" hidden="false" customHeight="true" outlineLevel="0" collapsed="false">
      <c r="B38" s="24" t="str">
        <f aca="false">'Base Criciúma'!B15</f>
        <v>APS URUSSANGA</v>
      </c>
      <c r="C38" s="26" t="n">
        <f aca="false">'Base Criciúma'!AO15</f>
        <v>797.590107959771</v>
      </c>
      <c r="D38" s="26" t="n">
        <f aca="false">C38*3</f>
        <v>2392.77032387931</v>
      </c>
      <c r="E38" s="26" t="n">
        <f aca="false">C38+D38</f>
        <v>3190.36043183909</v>
      </c>
      <c r="F38" s="26" t="n">
        <f aca="false">C38*12</f>
        <v>9571.08129551726</v>
      </c>
      <c r="G38" s="26" t="n">
        <f aca="false">F38*3</f>
        <v>28713.2438865518</v>
      </c>
      <c r="H38" s="26" t="n">
        <f aca="false">F38+G38</f>
        <v>38284.325182069</v>
      </c>
      <c r="I38" s="38" t="n">
        <f aca="false">F38/$E$7</f>
        <v>0.0271003658266981</v>
      </c>
    </row>
    <row r="39" customFormat="false" ht="16.5" hidden="false" customHeight="true" outlineLevel="0" collapsed="false">
      <c r="B39" s="24" t="str">
        <f aca="false">'Base Criciúma'!B16</f>
        <v>CEDOCPREV CRICIÚMA</v>
      </c>
      <c r="C39" s="26" t="n">
        <f aca="false">'Base Criciúma'!AO16</f>
        <v>1013.78641676182</v>
      </c>
      <c r="D39" s="26" t="n">
        <f aca="false">C39*3</f>
        <v>3041.35925028547</v>
      </c>
      <c r="E39" s="26" t="n">
        <f aca="false">C39+D39</f>
        <v>4055.1456670473</v>
      </c>
      <c r="F39" s="26" t="n">
        <f aca="false">C39*12</f>
        <v>12165.4370011419</v>
      </c>
      <c r="G39" s="26" t="n">
        <f aca="false">F39*3</f>
        <v>36496.3110034257</v>
      </c>
      <c r="H39" s="26" t="n">
        <f aca="false">F39+G39</f>
        <v>48661.7480045676</v>
      </c>
      <c r="I39" s="38" t="n">
        <f aca="false">F39/$E$7</f>
        <v>0.0344462431143499</v>
      </c>
    </row>
    <row r="40" customFormat="false" ht="16.5" hidden="false" customHeight="true" outlineLevel="0" collapsed="false">
      <c r="B40" s="24" t="str">
        <f aca="false">'Base Criciúma'!B17</f>
        <v>GEX/APS CRICIÚMA</v>
      </c>
      <c r="C40" s="26" t="n">
        <f aca="false">'Base Criciúma'!AO17</f>
        <v>1429.74820156245</v>
      </c>
      <c r="D40" s="26" t="n">
        <f aca="false">C40*3</f>
        <v>4289.24460468735</v>
      </c>
      <c r="E40" s="26" t="n">
        <f aca="false">C40+D40</f>
        <v>5718.9928062498</v>
      </c>
      <c r="F40" s="26" t="n">
        <f aca="false">C40*12</f>
        <v>17156.9784187494</v>
      </c>
      <c r="G40" s="26" t="n">
        <f aca="false">F40*3</f>
        <v>51470.9352562482</v>
      </c>
      <c r="H40" s="26" t="n">
        <f aca="false">F40+G40</f>
        <v>68627.9136749976</v>
      </c>
      <c r="I40" s="38" t="n">
        <f aca="false">F40/$E$7</f>
        <v>0.0485797139604951</v>
      </c>
    </row>
    <row r="41" customFormat="false" ht="16.5" hidden="false" customHeight="true" outlineLevel="0" collapsed="false">
      <c r="B41" s="24" t="str">
        <f aca="false">'Base Criciúma'!B18</f>
        <v>APS IMBITUBA</v>
      </c>
      <c r="C41" s="26" t="n">
        <f aca="false">'Base Criciúma'!AO18</f>
        <v>874.224823442529</v>
      </c>
      <c r="D41" s="26" t="n">
        <f aca="false">C41*3</f>
        <v>2622.67447032759</v>
      </c>
      <c r="E41" s="26" t="n">
        <f aca="false">C41+D41</f>
        <v>3496.89929377012</v>
      </c>
      <c r="F41" s="26" t="n">
        <f aca="false">C41*12</f>
        <v>10490.6978813103</v>
      </c>
      <c r="G41" s="26" t="n">
        <f aca="false">F41*3</f>
        <v>31472.093643931</v>
      </c>
      <c r="H41" s="26" t="n">
        <f aca="false">F41+G41</f>
        <v>41962.7915252414</v>
      </c>
      <c r="I41" s="38" t="n">
        <f aca="false">F41/$E$7</f>
        <v>0.0297042456941656</v>
      </c>
    </row>
    <row r="42" customFormat="false" ht="16.5" hidden="false" customHeight="true" outlineLevel="0" collapsed="false">
      <c r="A42" s="43"/>
      <c r="B42" s="24" t="str">
        <f aca="false">'Base Criciúma'!B19</f>
        <v>APS SÃO JOAQUIM</v>
      </c>
      <c r="C42" s="26" t="n">
        <f aca="false">'Base Criciúma'!AO19</f>
        <v>1256.29860380769</v>
      </c>
      <c r="D42" s="26" t="n">
        <f aca="false">C42*3</f>
        <v>3768.89581142306</v>
      </c>
      <c r="E42" s="26" t="n">
        <f aca="false">C42+D42</f>
        <v>5025.19441523075</v>
      </c>
      <c r="F42" s="26" t="n">
        <f aca="false">C42*12</f>
        <v>15075.5832456923</v>
      </c>
      <c r="G42" s="26" t="n">
        <f aca="false">F42*3</f>
        <v>45226.7497370768</v>
      </c>
      <c r="H42" s="26" t="n">
        <f aca="false">F42+G42</f>
        <v>60302.332982769</v>
      </c>
      <c r="I42" s="38" t="n">
        <f aca="false">F42/$E$7</f>
        <v>0.0426862763354076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  <c r="FX42" s="44"/>
      <c r="FY42" s="44"/>
      <c r="FZ42" s="44"/>
      <c r="GA42" s="44"/>
      <c r="GB42" s="44"/>
      <c r="GC42" s="44"/>
      <c r="GD42" s="44"/>
      <c r="GE42" s="44"/>
      <c r="GF42" s="44"/>
      <c r="GG42" s="44"/>
      <c r="GH42" s="44"/>
      <c r="GI42" s="44"/>
      <c r="GJ42" s="44"/>
      <c r="GK42" s="44"/>
      <c r="GL42" s="44"/>
      <c r="GM42" s="44"/>
      <c r="GN42" s="44"/>
      <c r="GO42" s="44"/>
      <c r="GP42" s="44"/>
      <c r="GQ42" s="44"/>
      <c r="GR42" s="44"/>
      <c r="GS42" s="44"/>
      <c r="GT42" s="44"/>
      <c r="GU42" s="44"/>
      <c r="GV42" s="44"/>
      <c r="GW42" s="44"/>
      <c r="GX42" s="44"/>
      <c r="GY42" s="44"/>
      <c r="GZ42" s="44"/>
      <c r="HA42" s="44"/>
      <c r="HB42" s="44"/>
      <c r="HC42" s="44"/>
      <c r="HD42" s="44"/>
      <c r="HE42" s="44"/>
      <c r="HF42" s="44"/>
      <c r="HG42" s="44"/>
      <c r="HH42" s="44"/>
      <c r="HI42" s="44"/>
      <c r="HJ42" s="44"/>
      <c r="HK42" s="44"/>
      <c r="HL42" s="44"/>
      <c r="HM42" s="44"/>
      <c r="HN42" s="44"/>
      <c r="HO42" s="44"/>
      <c r="HP42" s="44"/>
      <c r="HQ42" s="44"/>
      <c r="HR42" s="44"/>
      <c r="HS42" s="44"/>
      <c r="HT42" s="44"/>
      <c r="HU42" s="44"/>
      <c r="HV42" s="44"/>
      <c r="HW42" s="44"/>
      <c r="HX42" s="44"/>
      <c r="HY42" s="44"/>
      <c r="HZ42" s="44"/>
      <c r="IA42" s="44"/>
      <c r="IB42" s="44"/>
      <c r="IC42" s="44"/>
      <c r="ID42" s="44"/>
      <c r="IE42" s="44"/>
      <c r="IF42" s="44"/>
      <c r="IG42" s="44"/>
      <c r="IH42" s="44"/>
      <c r="II42" s="44"/>
      <c r="IJ42" s="44"/>
      <c r="IK42" s="44"/>
      <c r="IL42" s="44"/>
      <c r="IM42" s="44"/>
      <c r="IN42" s="44"/>
      <c r="IO42" s="44"/>
      <c r="IP42" s="43"/>
    </row>
    <row r="43" customFormat="false" ht="22.5" hidden="false" customHeight="true" outlineLevel="0" collapsed="false">
      <c r="A43" s="43"/>
      <c r="B43" s="39" t="str">
        <f aca="false">"Total Base "&amp;B6</f>
        <v>Total Base CRICIÚMA</v>
      </c>
      <c r="C43" s="39" t="n">
        <f aca="false">SUM(C30:C42)</f>
        <v>12476.846081991</v>
      </c>
      <c r="D43" s="39" t="n">
        <f aca="false">SUM(D30:D42)</f>
        <v>37430.5382459731</v>
      </c>
      <c r="E43" s="39" t="n">
        <f aca="false">SUM(E30:E42)</f>
        <v>49907.3843279641</v>
      </c>
      <c r="F43" s="39" t="n">
        <f aca="false">SUM(F30:F42)</f>
        <v>149722.152983892</v>
      </c>
      <c r="G43" s="39" t="n">
        <f aca="false">SUM(G30:G42)</f>
        <v>449166.458951677</v>
      </c>
      <c r="H43" s="39" t="n">
        <f aca="false">SUM(H30:H42)</f>
        <v>598888.61193557</v>
      </c>
      <c r="I43" s="40" t="n">
        <f aca="false">SUM(I30:I42)</f>
        <v>0.423935916219282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  <c r="FP43" s="44"/>
      <c r="FQ43" s="44"/>
      <c r="FR43" s="44"/>
      <c r="FS43" s="44"/>
      <c r="FT43" s="44"/>
      <c r="FU43" s="44"/>
      <c r="FV43" s="44"/>
      <c r="FW43" s="44"/>
      <c r="FX43" s="44"/>
      <c r="FY43" s="44"/>
      <c r="FZ43" s="44"/>
      <c r="GA43" s="44"/>
      <c r="GB43" s="44"/>
      <c r="GC43" s="44"/>
      <c r="GD43" s="44"/>
      <c r="GE43" s="44"/>
      <c r="GF43" s="44"/>
      <c r="GG43" s="44"/>
      <c r="GH43" s="44"/>
      <c r="GI43" s="44"/>
      <c r="GJ43" s="44"/>
      <c r="GK43" s="44"/>
      <c r="GL43" s="44"/>
      <c r="GM43" s="44"/>
      <c r="GN43" s="44"/>
      <c r="GO43" s="44"/>
      <c r="GP43" s="44"/>
      <c r="GQ43" s="44"/>
      <c r="GR43" s="44"/>
      <c r="GS43" s="44"/>
      <c r="GT43" s="44"/>
      <c r="GU43" s="44"/>
      <c r="GV43" s="44"/>
      <c r="GW43" s="44"/>
      <c r="GX43" s="44"/>
      <c r="GY43" s="44"/>
      <c r="GZ43" s="44"/>
      <c r="HA43" s="44"/>
      <c r="HB43" s="44"/>
      <c r="HC43" s="44"/>
      <c r="HD43" s="44"/>
      <c r="HE43" s="44"/>
      <c r="HF43" s="44"/>
      <c r="HG43" s="44"/>
      <c r="HH43" s="44"/>
      <c r="HI43" s="44"/>
      <c r="HJ43" s="44"/>
      <c r="HK43" s="44"/>
      <c r="HL43" s="44"/>
      <c r="HM43" s="44"/>
      <c r="HN43" s="44"/>
      <c r="HO43" s="44"/>
      <c r="HP43" s="44"/>
      <c r="HQ43" s="44"/>
      <c r="HR43" s="44"/>
      <c r="HS43" s="44"/>
      <c r="HT43" s="44"/>
      <c r="HU43" s="44"/>
      <c r="HV43" s="44"/>
      <c r="HW43" s="44"/>
      <c r="HX43" s="44"/>
      <c r="HY43" s="44"/>
      <c r="HZ43" s="44"/>
      <c r="IA43" s="44"/>
      <c r="IB43" s="44"/>
      <c r="IC43" s="44"/>
      <c r="ID43" s="44"/>
      <c r="IE43" s="44"/>
      <c r="IF43" s="44"/>
      <c r="IG43" s="44"/>
      <c r="IH43" s="44"/>
      <c r="II43" s="44"/>
      <c r="IJ43" s="44"/>
      <c r="IK43" s="44"/>
      <c r="IL43" s="44"/>
      <c r="IM43" s="44"/>
      <c r="IN43" s="44"/>
      <c r="IO43" s="44"/>
      <c r="IP43" s="43"/>
    </row>
    <row r="44" customFormat="false" ht="22.5" hidden="false" customHeight="true" outlineLevel="0" collapsed="false">
      <c r="B44" s="45"/>
      <c r="C44" s="41"/>
      <c r="D44" s="41"/>
      <c r="E44" s="41"/>
      <c r="F44" s="41"/>
      <c r="G44" s="41"/>
      <c r="H44" s="41"/>
      <c r="I44" s="42"/>
    </row>
  </sheetData>
  <mergeCells count="7">
    <mergeCell ref="B2:I2"/>
    <mergeCell ref="B9:B10"/>
    <mergeCell ref="C9:E9"/>
    <mergeCell ref="F9:H9"/>
    <mergeCell ref="B28:B29"/>
    <mergeCell ref="C28:E28"/>
    <mergeCell ref="F28:H28"/>
  </mergeCells>
  <printOptions headings="false" gridLines="false" gridLinesSet="true" horizontalCentered="true" verticalCentered="false"/>
  <pageMargins left="0.157638888888889" right="0.0784722222222222" top="0.118055555555556" bottom="0.0784722222222222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E7" activeCellId="0" sqref="E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6" t="str">
        <f aca="false">"CÁLCULO DO CUSTO DA EQUIPE TÉCNICA PARA O "&amp;'Valor da Contratação'!B7&amp;""</f>
        <v>CÁLCULO DO CUSTO DA EQUIPE TÉCNICA PARA O POLO V</v>
      </c>
      <c r="C2" s="46"/>
      <c r="D2" s="46"/>
      <c r="E2" s="46"/>
    </row>
    <row r="3" customFormat="false" ht="15" hidden="false" customHeight="true" outlineLevel="0" collapsed="false">
      <c r="B3" s="47"/>
      <c r="C3" s="47"/>
      <c r="D3" s="47"/>
      <c r="E3" s="47"/>
    </row>
    <row r="4" customFormat="false" ht="45.75" hidden="false" customHeight="true" outlineLevel="0" collapsed="false">
      <c r="B4" s="48" t="s">
        <v>30</v>
      </c>
      <c r="C4" s="49" t="s">
        <v>31</v>
      </c>
      <c r="D4" s="49" t="s">
        <v>32</v>
      </c>
      <c r="E4" s="49" t="s">
        <v>33</v>
      </c>
    </row>
    <row r="5" customFormat="false" ht="19.5" hidden="false" customHeight="true" outlineLevel="0" collapsed="false">
      <c r="B5" s="48"/>
      <c r="C5" s="50" t="n">
        <v>110.32</v>
      </c>
      <c r="D5" s="50" t="n">
        <f aca="false">'Comp. Eng. Eletricista'!D11</f>
        <v>110.108125</v>
      </c>
      <c r="E5" s="50" t="n">
        <v>27.01</v>
      </c>
    </row>
    <row r="6" customFormat="false" ht="19.5" hidden="false" customHeight="true" outlineLevel="0" collapsed="false">
      <c r="B6" s="51" t="s">
        <v>34</v>
      </c>
      <c r="C6" s="52" t="n">
        <v>80</v>
      </c>
      <c r="D6" s="52" t="n">
        <v>16</v>
      </c>
      <c r="E6" s="52" t="n">
        <v>80</v>
      </c>
    </row>
    <row r="7" customFormat="false" ht="19.5" hidden="false" customHeight="true" outlineLevel="0" collapsed="false">
      <c r="B7" s="51" t="s">
        <v>35</v>
      </c>
      <c r="C7" s="50" t="n">
        <f aca="false">C5*C6</f>
        <v>8825.6</v>
      </c>
      <c r="D7" s="50" t="n">
        <f aca="false">D5*D6</f>
        <v>1761.73</v>
      </c>
      <c r="E7" s="50" t="n">
        <f aca="false">E5*E6</f>
        <v>2160.8</v>
      </c>
    </row>
    <row r="8" customFormat="false" ht="19.5" hidden="false" customHeight="true" outlineLevel="0" collapsed="false">
      <c r="B8" s="51" t="s">
        <v>36</v>
      </c>
      <c r="C8" s="50" t="n">
        <f aca="false">C5*C6*12</f>
        <v>105907.2</v>
      </c>
      <c r="D8" s="50" t="n">
        <f aca="false">D5*D6*12</f>
        <v>21140.76</v>
      </c>
      <c r="E8" s="50" t="n">
        <f aca="false">E5*E6*12</f>
        <v>25929.6</v>
      </c>
    </row>
    <row r="9" customFormat="false" ht="19.5" hidden="false" customHeight="true" outlineLevel="0" collapsed="false">
      <c r="B9" s="53" t="s">
        <v>37</v>
      </c>
      <c r="C9" s="54"/>
      <c r="D9" s="54"/>
      <c r="E9" s="54"/>
    </row>
    <row r="10" customFormat="false" ht="19.5" hidden="false" customHeight="true" outlineLevel="0" collapsed="false">
      <c r="C10" s="54"/>
      <c r="D10" s="54"/>
      <c r="E10" s="54"/>
    </row>
    <row r="11" customFormat="false" ht="19.5" hidden="false" customHeight="true" outlineLevel="0" collapsed="false">
      <c r="B11" s="48" t="s">
        <v>38</v>
      </c>
      <c r="C11" s="48"/>
      <c r="E11" s="54"/>
    </row>
    <row r="12" customFormat="false" ht="19.5" hidden="false" customHeight="true" outlineLevel="0" collapsed="false">
      <c r="B12" s="51" t="s">
        <v>39</v>
      </c>
      <c r="C12" s="50" t="n">
        <f aca="false">SUM(C7:E7)</f>
        <v>12748.13</v>
      </c>
      <c r="E12" s="54"/>
    </row>
    <row r="13" customFormat="false" ht="19.5" hidden="false" customHeight="true" outlineLevel="0" collapsed="false">
      <c r="B13" s="51" t="s">
        <v>40</v>
      </c>
      <c r="C13" s="50" t="n">
        <f aca="false">SUM(C8:E8)</f>
        <v>152977.56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27"/>
  <sheetViews>
    <sheetView showFormulas="false" showGridLines="false" showRowColHeaders="true" showZeros="true" rightToLeft="false" tabSelected="false" showOutlineSymbols="true" defaultGridColor="true" view="normal" topLeftCell="P1" colorId="64" zoomScale="80" zoomScaleNormal="80" zoomScalePageLayoutView="100" workbookViewId="0">
      <selection pane="topLeft" activeCell="V7" activeCellId="0" sqref="V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9.38"/>
    <col collapsed="false" customWidth="true" hidden="false" outlineLevel="0" max="15" min="3" style="18" width="12.62"/>
    <col collapsed="false" customWidth="false" hidden="false" outlineLevel="0" max="16" min="16" style="18" width="8.38"/>
    <col collapsed="false" customWidth="true" hidden="false" outlineLevel="0" max="17" min="17" style="18" width="37.38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38.38"/>
    <col collapsed="false" customWidth="true" hidden="false" outlineLevel="0" max="36" min="36" style="18" width="10.62"/>
    <col collapsed="false" customWidth="true" hidden="false" outlineLevel="0" max="40" min="37" style="18" width="11.75"/>
    <col collapsed="false" customWidth="true" hidden="false" outlineLevel="0" max="42" min="41" style="18" width="11.38"/>
    <col collapsed="false" customWidth="true" hidden="false" outlineLevel="0" max="43" min="43" style="18" width="12.88"/>
    <col collapsed="false" customWidth="true" hidden="false" outlineLevel="0" max="44" min="44" style="18" width="3.38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256" min="50" style="18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5" customFormat="true" ht="24.75" hidden="false" customHeight="true" outlineLevel="0" collapsed="false">
      <c r="B2" s="56" t="str">
        <f aca="false">"BASE "&amp;Resumo!B5&amp;" - PLANILHA DE FORMAÇÃO DE PREÇOS"</f>
        <v>BASE FLORIANÓPOLIS - PLANILHA DE FORMAÇÃO DE PREÇOS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7"/>
      <c r="Q2" s="46" t="str">
        <f aca="false">"BASE "&amp;Resumo!B5&amp;" – PLANILHA DE DISTRIBUIÇÃO DE CUSTOS POR UNIDADE"</f>
        <v>BASE FLORIANÓPOLIS – PLANILHA DE DISTRIBUIÇÃO DE CUSTOS POR UNIDADE</v>
      </c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58"/>
      <c r="AI2" s="59" t="str">
        <f aca="false">"BASE "&amp;Resumo!B5&amp;" – PLANILHA RESUMO DE CUSTOS DA BASE"</f>
        <v>BASE FLORIANÓPOLIS – PLANILHA RESUMO DE CUSTOS DA BASE</v>
      </c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</row>
    <row r="3" customFormat="false" ht="15" hidden="false" customHeight="true" outlineLevel="0" collapsed="false">
      <c r="B3" s="55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="35" customFormat="true" ht="19.5" hidden="false" customHeight="true" outlineLevel="0" collapsed="false">
      <c r="B4" s="49" t="s">
        <v>41</v>
      </c>
      <c r="C4" s="49" t="s">
        <v>42</v>
      </c>
      <c r="D4" s="49"/>
      <c r="E4" s="49"/>
      <c r="F4" s="49"/>
      <c r="G4" s="49"/>
      <c r="H4" s="49" t="s">
        <v>43</v>
      </c>
      <c r="I4" s="49"/>
      <c r="J4" s="49"/>
      <c r="K4" s="49"/>
      <c r="L4" s="49"/>
      <c r="M4" s="49"/>
      <c r="N4" s="49"/>
      <c r="O4" s="49" t="s">
        <v>28</v>
      </c>
      <c r="P4" s="57"/>
      <c r="Q4" s="49" t="s">
        <v>44</v>
      </c>
      <c r="R4" s="60" t="s">
        <v>45</v>
      </c>
      <c r="S4" s="60"/>
      <c r="T4" s="60"/>
      <c r="U4" s="60"/>
      <c r="V4" s="60" t="s">
        <v>46</v>
      </c>
      <c r="W4" s="60"/>
      <c r="X4" s="60"/>
      <c r="Y4" s="60"/>
      <c r="Z4" s="60" t="s">
        <v>47</v>
      </c>
      <c r="AA4" s="60"/>
      <c r="AB4" s="60"/>
      <c r="AC4" s="60"/>
      <c r="AD4" s="60" t="s">
        <v>48</v>
      </c>
      <c r="AE4" s="60"/>
      <c r="AF4" s="60"/>
      <c r="AG4" s="60"/>
      <c r="AI4" s="49" t="s">
        <v>44</v>
      </c>
      <c r="AJ4" s="61" t="s">
        <v>49</v>
      </c>
      <c r="AK4" s="61"/>
      <c r="AL4" s="61"/>
      <c r="AM4" s="61"/>
      <c r="AN4" s="61"/>
      <c r="AO4" s="61" t="s">
        <v>50</v>
      </c>
      <c r="AP4" s="61"/>
      <c r="AQ4" s="61"/>
      <c r="AR4" s="62"/>
      <c r="AS4" s="61" t="str">
        <f aca="false">"Resumo de Custos da Base "&amp;Resumo!B5</f>
        <v>Resumo de Custos da Base FLORIANÓPOLIS</v>
      </c>
      <c r="AT4" s="61"/>
      <c r="AU4" s="61"/>
      <c r="AV4" s="61"/>
      <c r="AW4" s="61"/>
    </row>
    <row r="5" customFormat="false" ht="39.75" hidden="false" customHeight="true" outlineLevel="0" collapsed="false">
      <c r="B5" s="49"/>
      <c r="C5" s="49" t="s">
        <v>28</v>
      </c>
      <c r="D5" s="49" t="s">
        <v>51</v>
      </c>
      <c r="E5" s="49" t="s">
        <v>52</v>
      </c>
      <c r="F5" s="49" t="s">
        <v>53</v>
      </c>
      <c r="G5" s="49" t="s">
        <v>54</v>
      </c>
      <c r="H5" s="49" t="s">
        <v>55</v>
      </c>
      <c r="I5" s="49" t="s">
        <v>56</v>
      </c>
      <c r="J5" s="49" t="s">
        <v>57</v>
      </c>
      <c r="K5" s="49" t="s">
        <v>58</v>
      </c>
      <c r="L5" s="49" t="s">
        <v>59</v>
      </c>
      <c r="M5" s="49" t="s">
        <v>60</v>
      </c>
      <c r="N5" s="49" t="s">
        <v>61</v>
      </c>
      <c r="O5" s="49"/>
      <c r="P5" s="57"/>
      <c r="Q5" s="49"/>
      <c r="R5" s="49" t="s">
        <v>62</v>
      </c>
      <c r="S5" s="49" t="s">
        <v>63</v>
      </c>
      <c r="T5" s="49" t="s">
        <v>64</v>
      </c>
      <c r="U5" s="49" t="s">
        <v>65</v>
      </c>
      <c r="V5" s="49" t="s">
        <v>66</v>
      </c>
      <c r="W5" s="49" t="s">
        <v>67</v>
      </c>
      <c r="X5" s="49" t="s">
        <v>68</v>
      </c>
      <c r="Y5" s="49" t="s">
        <v>69</v>
      </c>
      <c r="Z5" s="49" t="s">
        <v>70</v>
      </c>
      <c r="AA5" s="49"/>
      <c r="AB5" s="49"/>
      <c r="AC5" s="49" t="n">
        <f aca="false">N22+'Base Criciúma'!N20</f>
        <v>1101.05</v>
      </c>
      <c r="AD5" s="60" t="s">
        <v>62</v>
      </c>
      <c r="AE5" s="60" t="s">
        <v>63</v>
      </c>
      <c r="AF5" s="60" t="s">
        <v>64</v>
      </c>
      <c r="AG5" s="60" t="s">
        <v>65</v>
      </c>
      <c r="AI5" s="49"/>
      <c r="AJ5" s="60" t="s">
        <v>71</v>
      </c>
      <c r="AK5" s="60" t="s">
        <v>62</v>
      </c>
      <c r="AL5" s="60" t="s">
        <v>63</v>
      </c>
      <c r="AM5" s="60" t="s">
        <v>64</v>
      </c>
      <c r="AN5" s="60" t="s">
        <v>65</v>
      </c>
      <c r="AO5" s="60" t="s">
        <v>72</v>
      </c>
      <c r="AP5" s="60" t="s">
        <v>73</v>
      </c>
      <c r="AQ5" s="60" t="s">
        <v>74</v>
      </c>
      <c r="AR5" s="58"/>
      <c r="AS5" s="60" t="s">
        <v>75</v>
      </c>
      <c r="AT5" s="60" t="s">
        <v>62</v>
      </c>
      <c r="AU5" s="60" t="s">
        <v>63</v>
      </c>
      <c r="AV5" s="60" t="s">
        <v>64</v>
      </c>
      <c r="AW5" s="60" t="s">
        <v>65</v>
      </c>
    </row>
    <row r="6" customFormat="false" ht="19.5" hidden="false" customHeight="true" outlineLevel="0" collapsed="false">
      <c r="B6" s="49"/>
      <c r="C6" s="63" t="s">
        <v>76</v>
      </c>
      <c r="D6" s="63" t="n">
        <v>1</v>
      </c>
      <c r="E6" s="63" t="n">
        <v>0.35</v>
      </c>
      <c r="F6" s="63" t="n">
        <v>0.1</v>
      </c>
      <c r="G6" s="49"/>
      <c r="H6" s="63" t="n">
        <v>1</v>
      </c>
      <c r="I6" s="63" t="n">
        <v>1.2</v>
      </c>
      <c r="J6" s="63" t="n">
        <v>2</v>
      </c>
      <c r="K6" s="63" t="n">
        <v>4</v>
      </c>
      <c r="L6" s="63" t="n">
        <v>1.1</v>
      </c>
      <c r="M6" s="63" t="n">
        <v>1.1</v>
      </c>
      <c r="N6" s="49"/>
      <c r="O6" s="49"/>
      <c r="P6" s="64"/>
      <c r="Q6" s="49"/>
      <c r="R6" s="63" t="s">
        <v>77</v>
      </c>
      <c r="S6" s="63" t="s">
        <v>78</v>
      </c>
      <c r="T6" s="63" t="s">
        <v>79</v>
      </c>
      <c r="U6" s="63" t="s">
        <v>80</v>
      </c>
      <c r="V6" s="49"/>
      <c r="W6" s="49"/>
      <c r="X6" s="49"/>
      <c r="Y6" s="49"/>
      <c r="Z6" s="37" t="s">
        <v>62</v>
      </c>
      <c r="AA6" s="37" t="s">
        <v>63</v>
      </c>
      <c r="AB6" s="37" t="s">
        <v>64</v>
      </c>
      <c r="AC6" s="37" t="s">
        <v>65</v>
      </c>
      <c r="AD6" s="60"/>
      <c r="AE6" s="60"/>
      <c r="AF6" s="60"/>
      <c r="AG6" s="60"/>
      <c r="AI6" s="49"/>
      <c r="AJ6" s="60"/>
      <c r="AK6" s="60"/>
      <c r="AL6" s="60"/>
      <c r="AM6" s="60"/>
      <c r="AN6" s="60"/>
      <c r="AO6" s="60"/>
      <c r="AP6" s="60"/>
      <c r="AQ6" s="60"/>
      <c r="AR6" s="65"/>
      <c r="AS6" s="60"/>
      <c r="AT6" s="37" t="s">
        <v>77</v>
      </c>
      <c r="AU6" s="37" t="s">
        <v>78</v>
      </c>
      <c r="AV6" s="37" t="s">
        <v>79</v>
      </c>
      <c r="AW6" s="37" t="s">
        <v>80</v>
      </c>
    </row>
    <row r="7" s="2" customFormat="true" ht="15" hidden="false" customHeight="true" outlineLevel="0" collapsed="false">
      <c r="B7" s="24" t="s">
        <v>81</v>
      </c>
      <c r="C7" s="66" t="n">
        <f aca="false">VLOOKUP($B7,Unidades!$D$5:$N$32,6,FALSE())</f>
        <v>241.15</v>
      </c>
      <c r="D7" s="66" t="n">
        <f aca="false">VLOOKUP($B7,Unidades!$D$5:$N$32,7,FALSE())</f>
        <v>191.95</v>
      </c>
      <c r="E7" s="66" t="n">
        <f aca="false">VLOOKUP($B7,Unidades!$D$5:$N$32,8,FALSE())</f>
        <v>38.5</v>
      </c>
      <c r="F7" s="66" t="n">
        <f aca="false">VLOOKUP($B7,Unidades!$D$5:$N$32,9,FALSE())</f>
        <v>10.7</v>
      </c>
      <c r="G7" s="66" t="n">
        <f aca="false">D7+E7*$E$6+F7*$F$6</f>
        <v>206.495</v>
      </c>
      <c r="H7" s="67" t="n">
        <f aca="false">IF(G7&lt;750,1.5,IF(G7&lt;2000,2,3))</f>
        <v>1.5</v>
      </c>
      <c r="I7" s="67" t="n">
        <f aca="false">$I$6*H7</f>
        <v>1.8</v>
      </c>
      <c r="J7" s="67" t="str">
        <f aca="false">VLOOKUP($B7,Unidades!$D$5:$N$32,10,FALSE())</f>
        <v>NÃO</v>
      </c>
      <c r="K7" s="67" t="str">
        <f aca="false">VLOOKUP($B7,Unidades!$D$5:$N$32,11,FALSE())</f>
        <v>NÃO</v>
      </c>
      <c r="L7" s="67" t="n">
        <f aca="false">$L$6*H7+(IF(J7="SIM",$J$6,0))</f>
        <v>1.65</v>
      </c>
      <c r="M7" s="67" t="n">
        <f aca="false">$M$6*H7+(IF(J7="SIM",$J$6,0))+(IF(K7="SIM",$K$6,0))</f>
        <v>1.65</v>
      </c>
      <c r="N7" s="67" t="n">
        <f aca="false">H7*12+I7*4+L7*2+M7</f>
        <v>30.15</v>
      </c>
      <c r="O7" s="68" t="n">
        <f aca="false">IF(K7="não", N7*(C$25+D$25),N7*(C$25+D$25)+(M7*+E$25))</f>
        <v>1499.058</v>
      </c>
      <c r="P7" s="69"/>
      <c r="Q7" s="24" t="str">
        <f aca="false">B7</f>
        <v>APS ALFREDO WAGNER</v>
      </c>
      <c r="R7" s="26" t="n">
        <f aca="false">H7*($C$25+$D$25)</f>
        <v>74.58</v>
      </c>
      <c r="S7" s="26" t="n">
        <f aca="false">I7*($C$25+$D$25)</f>
        <v>89.496</v>
      </c>
      <c r="T7" s="26" t="n">
        <f aca="false">L7*($C$25+$D$25)</f>
        <v>82.038</v>
      </c>
      <c r="U7" s="26" t="n">
        <f aca="false">IF(K7="não",M7*($C$25+$D$25),M7*(C$25+D$25+E$25))</f>
        <v>82.038</v>
      </c>
      <c r="V7" s="26" t="n">
        <f aca="false">VLOOKUP(Q7,'Desl. Base Florianópolis'!$C$5:$S$19,13,FALSE())*($C$25+$D$25+$E$25*(VLOOKUP(Q7,'Desl. Base Florianópolis'!$C$5:$S$19,17,FALSE())/12))</f>
        <v>193.273055555556</v>
      </c>
      <c r="W7" s="26" t="n">
        <f aca="false">VLOOKUP(Q7,'Desl. Base Florianópolis'!$C$5:$S$19,15,FALSE())*(2+(VLOOKUP(Q7,'Desl. Base Florianópolis'!$C$5:$S$19,17,FALSE())/12))</f>
        <v>138.270833333333</v>
      </c>
      <c r="X7" s="26" t="n">
        <f aca="false">VLOOKUP(Q7,'Desl. Base Florianópolis'!$C$5:$Q$19,14,FALSE())</f>
        <v>0</v>
      </c>
      <c r="Y7" s="26" t="n">
        <f aca="false">VLOOKUP(Q7,'Desl. Base Florianópolis'!$C$5:$Q$19,13,FALSE())*'Desl. Base Florianópolis'!$E$24+'Desl. Base Florianópolis'!$E$25*N7/12</f>
        <v>208.201875</v>
      </c>
      <c r="Z7" s="26" t="n">
        <f aca="false">(H7/$AC$5)*'Equipe Técnica'!$C$13</f>
        <v>208.40682984424</v>
      </c>
      <c r="AA7" s="26" t="n">
        <f aca="false">(I7/$AC$5)*'Equipe Técnica'!$C$13</f>
        <v>250.088195813088</v>
      </c>
      <c r="AB7" s="26" t="n">
        <f aca="false">(L7/$AC$5)*'Equipe Técnica'!$C$13</f>
        <v>229.247512828664</v>
      </c>
      <c r="AC7" s="26" t="n">
        <f aca="false">(M7/$AC$5)*'Equipe Técnica'!$C$13</f>
        <v>229.247512828664</v>
      </c>
      <c r="AD7" s="26" t="n">
        <f aca="false">R7+(($V7+$W7+$X7+$Y7)*12/19)+$Z7</f>
        <v>623.878891247749</v>
      </c>
      <c r="AE7" s="26" t="n">
        <f aca="false">S7+(($V7+$W7+$X7+$Y7)*12/19)+$AA7</f>
        <v>680.476257216596</v>
      </c>
      <c r="AF7" s="26" t="n">
        <f aca="false">T7+(($V7+$W7+$X7+$Y7)*12/19)+$AB7</f>
        <v>652.177574232172</v>
      </c>
      <c r="AG7" s="26" t="n">
        <f aca="false">U7+(($V7+$W7+$X7+$Y7)*12/19)+$AC7</f>
        <v>652.177574232172</v>
      </c>
      <c r="AI7" s="24" t="str">
        <f aca="false">B7</f>
        <v>APS ALFREDO WAGNER</v>
      </c>
      <c r="AJ7" s="70" t="n">
        <f aca="false">VLOOKUP(AI7,Unidades!D$5:H$32,5,)</f>
        <v>0.3278</v>
      </c>
      <c r="AK7" s="50" t="n">
        <f aca="false">AD7*(1+$AJ7)</f>
        <v>828.38639179876</v>
      </c>
      <c r="AL7" s="50" t="n">
        <f aca="false">AE7*(1+$AJ7)</f>
        <v>903.536374332197</v>
      </c>
      <c r="AM7" s="50" t="n">
        <f aca="false">AF7*(1+$AJ7)</f>
        <v>865.961383065479</v>
      </c>
      <c r="AN7" s="50" t="n">
        <f aca="false">AG7*(1+$AJ7)</f>
        <v>865.961383065479</v>
      </c>
      <c r="AO7" s="50" t="n">
        <f aca="false">((AK7*12)+(AL7*4)+(AM7*2)+AN7)/12</f>
        <v>1346.0555290092</v>
      </c>
      <c r="AP7" s="50" t="n">
        <f aca="false">AO7*3</f>
        <v>4038.16658702759</v>
      </c>
      <c r="AQ7" s="50" t="n">
        <f aca="false">AO7+AP7</f>
        <v>5384.22211603678</v>
      </c>
      <c r="AR7" s="71"/>
      <c r="AS7" s="72" t="s">
        <v>82</v>
      </c>
      <c r="AT7" s="50" t="n">
        <f aca="false">AK22</f>
        <v>9425.55164851333</v>
      </c>
      <c r="AU7" s="50" t="n">
        <f aca="false">AL22</f>
        <v>10799.0169076892</v>
      </c>
      <c r="AV7" s="50" t="n">
        <f aca="false">AM22</f>
        <v>12566.4592612424</v>
      </c>
      <c r="AW7" s="50" t="n">
        <f aca="false">AN22</f>
        <v>22013.9051358179</v>
      </c>
    </row>
    <row r="8" s="2" customFormat="true" ht="15" hidden="false" customHeight="true" outlineLevel="0" collapsed="false">
      <c r="B8" s="24" t="s">
        <v>83</v>
      </c>
      <c r="C8" s="66" t="n">
        <f aca="false">VLOOKUP($B8,Unidades!$D$5:$N$32,6,FALSE())</f>
        <v>2070.39</v>
      </c>
      <c r="D8" s="66" t="n">
        <f aca="false">VLOOKUP($B8,Unidades!$D$5:$N$32,7,FALSE())</f>
        <v>1389.42</v>
      </c>
      <c r="E8" s="66" t="n">
        <f aca="false">VLOOKUP($B8,Unidades!$D$5:$N$32,8,FALSE())</f>
        <v>680.97</v>
      </c>
      <c r="F8" s="66" t="n">
        <f aca="false">VLOOKUP($B8,Unidades!$D$5:$N$32,9,FALSE())</f>
        <v>0</v>
      </c>
      <c r="G8" s="66" t="n">
        <f aca="false">D8+E8*$E$6+F8*$F$6</f>
        <v>1627.7595</v>
      </c>
      <c r="H8" s="67" t="n">
        <f aca="false">IF(G8&lt;750,1.5,IF(G8&lt;2000,2,3))</f>
        <v>2</v>
      </c>
      <c r="I8" s="67" t="n">
        <f aca="false">$I$6*H8</f>
        <v>2.4</v>
      </c>
      <c r="J8" s="67" t="str">
        <f aca="false">VLOOKUP($B8,Unidades!$D$5:$N$32,10,FALSE())</f>
        <v>SIM</v>
      </c>
      <c r="K8" s="67" t="str">
        <f aca="false">VLOOKUP($B8,Unidades!$D$5:$N$32,11,FALSE())</f>
        <v>SIM</v>
      </c>
      <c r="L8" s="67" t="n">
        <f aca="false">$L$6*H8+(IF(J8="SIM",$J$6,0))</f>
        <v>4.2</v>
      </c>
      <c r="M8" s="67" t="n">
        <f aca="false">$M$6*H8+(IF(J8="SIM",$J$6,0))+(IF(K8="SIM",$K$6,0))</f>
        <v>8.2</v>
      </c>
      <c r="N8" s="67" t="n">
        <f aca="false">H8*12+I8*4+L8*2+M8</f>
        <v>50.2</v>
      </c>
      <c r="O8" s="68" t="n">
        <f aca="false">IF(K8="não", N8*(C$25+D$25),N8*(C$25+D$25)+(M8*+E$25))</f>
        <v>2790.242</v>
      </c>
      <c r="P8" s="69"/>
      <c r="Q8" s="24" t="str">
        <f aca="false">B8</f>
        <v>APS BI – FLORIANÓPOLIS</v>
      </c>
      <c r="R8" s="26" t="n">
        <f aca="false">H8*($C$25+$D$25)</f>
        <v>99.44</v>
      </c>
      <c r="S8" s="26" t="n">
        <f aca="false">I8*($C$25+$D$25)</f>
        <v>119.328</v>
      </c>
      <c r="T8" s="26" t="n">
        <f aca="false">L8*($C$25+$D$25)</f>
        <v>208.824</v>
      </c>
      <c r="U8" s="26" t="n">
        <f aca="false">IF(K8="não",M8*($C$25+$D$25),M8*(C$25+D$25+E$25))</f>
        <v>702.002</v>
      </c>
      <c r="V8" s="26" t="n">
        <f aca="false">VLOOKUP(Q8,'Desl. Base Florianópolis'!$C$5:$S$19,13,FALSE())*($C$25+$D$25+$E$25*(VLOOKUP(Q8,'Desl. Base Florianópolis'!$C$5:$S$19,17,FALSE())/12))</f>
        <v>18.4487916666667</v>
      </c>
      <c r="W8" s="26" t="n">
        <f aca="false">VLOOKUP(Q8,'Desl. Base Florianópolis'!$C$5:$S$19,15,FALSE())*(2+(VLOOKUP(Q8,'Desl. Base Florianópolis'!$C$5:$S$19,17,FALSE())/12))</f>
        <v>0</v>
      </c>
      <c r="X8" s="26" t="n">
        <f aca="false">VLOOKUP(Q8,'Desl. Base Florianópolis'!$C$5:$Q$19,14,FALSE())</f>
        <v>0</v>
      </c>
      <c r="Y8" s="26" t="n">
        <f aca="false">VLOOKUP(Q8,'Desl. Base Florianópolis'!$C$5:$Q$19,13,FALSE())*'Desl. Base Florianópolis'!$E$24+'Desl. Base Florianópolis'!$E$25*N8/12</f>
        <v>47.2811666666667</v>
      </c>
      <c r="Z8" s="26" t="n">
        <f aca="false">(H8/$AC$5)*'Equipe Técnica'!$C$13</f>
        <v>277.875773125653</v>
      </c>
      <c r="AA8" s="26" t="n">
        <f aca="false">(I8/$AC$5)*'Equipe Técnica'!$C$13</f>
        <v>333.450927750783</v>
      </c>
      <c r="AB8" s="26" t="n">
        <f aca="false">(L8/$AC$5)*'Equipe Técnica'!$C$13</f>
        <v>583.539123563871</v>
      </c>
      <c r="AC8" s="26" t="n">
        <f aca="false">(M8/$AC$5)*'Equipe Técnica'!$C$13</f>
        <v>1139.29066981518</v>
      </c>
      <c r="AD8" s="26" t="n">
        <f aca="false">R8+(($V8+$W8+$X8+$Y8)*12/19)+$Z8</f>
        <v>418.82943102039</v>
      </c>
      <c r="AE8" s="26" t="n">
        <f aca="false">S8+(($V8+$W8+$X8+$Y8)*12/19)+$AA8</f>
        <v>494.29258564552</v>
      </c>
      <c r="AF8" s="26" t="n">
        <f aca="false">T8+(($V8+$W8+$X8+$Y8)*12/19)+$AB8</f>
        <v>833.876781458608</v>
      </c>
      <c r="AG8" s="26" t="n">
        <f aca="false">U8+(($V8+$W8+$X8+$Y8)*12/19)+$AC8</f>
        <v>1882.80632770991</v>
      </c>
      <c r="AI8" s="24" t="str">
        <f aca="false">B8</f>
        <v>APS BI – FLORIANÓPOLIS</v>
      </c>
      <c r="AJ8" s="70" t="n">
        <f aca="false">VLOOKUP(AI8,Unidades!D$5:H$32,5,)</f>
        <v>0.2979</v>
      </c>
      <c r="AK8" s="50" t="n">
        <f aca="false">AD8*(1+$AJ8)</f>
        <v>543.598718521364</v>
      </c>
      <c r="AL8" s="50" t="n">
        <f aca="false">AE8*(1+$AJ8)</f>
        <v>641.542346909321</v>
      </c>
      <c r="AM8" s="50" t="n">
        <f aca="false">AF8*(1+$AJ8)</f>
        <v>1082.28867465513</v>
      </c>
      <c r="AN8" s="50" t="n">
        <f aca="false">AG8*(1+$AJ8)</f>
        <v>2443.6943327347</v>
      </c>
      <c r="AO8" s="50" t="n">
        <f aca="false">((AK8*12)+(AL8*4)+(AM8*2)+AN8)/12</f>
        <v>1141.46880766155</v>
      </c>
      <c r="AP8" s="50" t="n">
        <f aca="false">AO8*3</f>
        <v>3424.40642298465</v>
      </c>
      <c r="AQ8" s="50" t="n">
        <f aca="false">AO8+AP8</f>
        <v>4565.8752306462</v>
      </c>
      <c r="AR8" s="71"/>
      <c r="AS8" s="72" t="s">
        <v>84</v>
      </c>
      <c r="AT8" s="50" t="n">
        <f aca="false">AT7*12</f>
        <v>113106.61978216</v>
      </c>
      <c r="AU8" s="50" t="n">
        <f aca="false">AU7*4</f>
        <v>43196.0676307566</v>
      </c>
      <c r="AV8" s="50" t="n">
        <f aca="false">AV7*2</f>
        <v>25132.9185224848</v>
      </c>
      <c r="AW8" s="50" t="n">
        <f aca="false">AW7</f>
        <v>22013.9051358179</v>
      </c>
    </row>
    <row r="9" s="2" customFormat="true" ht="15" hidden="false" customHeight="true" outlineLevel="0" collapsed="false">
      <c r="B9" s="24" t="s">
        <v>85</v>
      </c>
      <c r="C9" s="66" t="n">
        <f aca="false">VLOOKUP($B9,Unidades!$D$5:$N$32,6,FALSE())</f>
        <v>365.39</v>
      </c>
      <c r="D9" s="66" t="n">
        <f aca="false">VLOOKUP($B9,Unidades!$D$5:$N$32,7,FALSE())</f>
        <v>315.19</v>
      </c>
      <c r="E9" s="66" t="n">
        <f aca="false">VLOOKUP($B9,Unidades!$D$5:$N$32,8,FALSE())</f>
        <v>50.2</v>
      </c>
      <c r="F9" s="66" t="n">
        <f aca="false">VLOOKUP($B9,Unidades!$D$5:$N$32,9,FALSE())</f>
        <v>0</v>
      </c>
      <c r="G9" s="66" t="n">
        <f aca="false">D9+E9*$E$6+F9*$F$6</f>
        <v>332.76</v>
      </c>
      <c r="H9" s="67" t="n">
        <f aca="false">IF(G9&lt;750,1.5,IF(G9&lt;2000,2,3))</f>
        <v>1.5</v>
      </c>
      <c r="I9" s="67" t="n">
        <f aca="false">$I$6*H9</f>
        <v>1.8</v>
      </c>
      <c r="J9" s="67" t="str">
        <f aca="false">VLOOKUP($B9,Unidades!$D$7:$N$32,10,FALSE())</f>
        <v>NÃO</v>
      </c>
      <c r="K9" s="67" t="str">
        <f aca="false">VLOOKUP($B9,Unidades!$D$7:$N$32,11,FALSE())</f>
        <v>NÃO</v>
      </c>
      <c r="L9" s="67" t="n">
        <f aca="false">$L$6*H9+(IF(J9="SIM",$J$6,0))</f>
        <v>1.65</v>
      </c>
      <c r="M9" s="67" t="n">
        <f aca="false">$M$6*H9+(IF(J9="SIM",$J$6,0))+(IF(K9="SIM",$K$6,0))</f>
        <v>1.65</v>
      </c>
      <c r="N9" s="67" t="n">
        <f aca="false">H9*12+I9*4+L9*2+M9</f>
        <v>30.15</v>
      </c>
      <c r="O9" s="68" t="n">
        <f aca="false">IF(K9="não", N9*(C$25+D$25),N9*(C$25+D$25)+(M9*+E$25))</f>
        <v>1499.058</v>
      </c>
      <c r="P9" s="69"/>
      <c r="Q9" s="24" t="str">
        <f aca="false">B9</f>
        <v>APS BIGUAÇU</v>
      </c>
      <c r="R9" s="26" t="n">
        <f aca="false">H9*($C$25+$D$25)</f>
        <v>74.58</v>
      </c>
      <c r="S9" s="26" t="n">
        <f aca="false">I9*($C$25+$D$25)</f>
        <v>89.496</v>
      </c>
      <c r="T9" s="26" t="n">
        <f aca="false">L9*($C$25+$D$25)</f>
        <v>82.038</v>
      </c>
      <c r="U9" s="26" t="n">
        <f aca="false">IF(K9="não",M9*($C$25+$D$25),M9*(C$25+D$25+E$25))</f>
        <v>82.038</v>
      </c>
      <c r="V9" s="26" t="n">
        <f aca="false">VLOOKUP(Q9,'Desl. Base Florianópolis'!$C$5:$S$19,13,FALSE())*($C$25+$D$25+$E$25*(VLOOKUP(Q9,'Desl. Base Florianópolis'!$C$5:$S$19,17,FALSE())/12))</f>
        <v>18.4487916666667</v>
      </c>
      <c r="W9" s="26" t="n">
        <f aca="false">VLOOKUP(Q9,'Desl. Base Florianópolis'!$C$5:$S$19,15,FALSE())*(2+(VLOOKUP(Q9,'Desl. Base Florianópolis'!$C$5:$S$19,17,FALSE())/12))</f>
        <v>0</v>
      </c>
      <c r="X9" s="26" t="n">
        <f aca="false">VLOOKUP(Q9,'Desl. Base Florianópolis'!$C$5:$Q$19,14,FALSE())</f>
        <v>0</v>
      </c>
      <c r="Y9" s="26" t="n">
        <f aca="false">VLOOKUP(Q9,'Desl. Base Florianópolis'!$C$5:$Q$19,13,FALSE())*'Desl. Base Florianópolis'!$E$24+'Desl. Base Florianópolis'!$E$25*N9/12</f>
        <v>35.668875</v>
      </c>
      <c r="Z9" s="26" t="n">
        <f aca="false">(H9/$AC$5)*'Equipe Técnica'!$C$13</f>
        <v>208.40682984424</v>
      </c>
      <c r="AA9" s="26" t="n">
        <f aca="false">(I9/$AC$5)*'Equipe Técnica'!$C$13</f>
        <v>250.088195813088</v>
      </c>
      <c r="AB9" s="26" t="n">
        <f aca="false">(L9/$AC$5)*'Equipe Técnica'!$C$13</f>
        <v>229.247512828664</v>
      </c>
      <c r="AC9" s="26" t="n">
        <f aca="false">(M9/$AC$5)*'Equipe Técnica'!$C$13</f>
        <v>229.247512828664</v>
      </c>
      <c r="AD9" s="26" t="n">
        <f aca="false">R9+(($V9+$W9+$X9+$Y9)*12/19)+$Z9</f>
        <v>317.166408791608</v>
      </c>
      <c r="AE9" s="26" t="n">
        <f aca="false">S9+(($V9+$W9+$X9+$Y9)*12/19)+$AA9</f>
        <v>373.763774760456</v>
      </c>
      <c r="AF9" s="26" t="n">
        <f aca="false">T9+(($V9+$W9+$X9+$Y9)*12/19)+$AB9</f>
        <v>345.465091776032</v>
      </c>
      <c r="AG9" s="26" t="n">
        <f aca="false">U9+(($V9+$W9+$X9+$Y9)*12/19)+$AC9</f>
        <v>345.465091776032</v>
      </c>
      <c r="AI9" s="24" t="str">
        <f aca="false">B9</f>
        <v>APS BIGUAÇU</v>
      </c>
      <c r="AJ9" s="70" t="n">
        <f aca="false">VLOOKUP(AI9,Unidades!D$5:H$32,5,)</f>
        <v>0.3278</v>
      </c>
      <c r="AK9" s="50" t="n">
        <f aca="false">AD9*(1+$AJ9)</f>
        <v>421.133557593497</v>
      </c>
      <c r="AL9" s="50" t="n">
        <f aca="false">AE9*(1+$AJ9)</f>
        <v>496.283540126933</v>
      </c>
      <c r="AM9" s="50" t="n">
        <f aca="false">AF9*(1+$AJ9)</f>
        <v>458.708548860215</v>
      </c>
      <c r="AN9" s="50" t="n">
        <f aca="false">AG9*(1+$AJ9)</f>
        <v>458.708548860215</v>
      </c>
      <c r="AO9" s="50" t="n">
        <f aca="false">((AK9*12)+(AL9*4)+(AM9*2)+AN9)/12</f>
        <v>701.238541517529</v>
      </c>
      <c r="AP9" s="50" t="n">
        <f aca="false">AO9*3</f>
        <v>2103.71562455259</v>
      </c>
      <c r="AQ9" s="50" t="n">
        <f aca="false">AO9+AP9</f>
        <v>2804.95416607011</v>
      </c>
      <c r="AR9" s="71"/>
      <c r="AS9" s="71"/>
      <c r="AT9" s="73"/>
      <c r="AU9" s="73"/>
      <c r="AV9" s="73"/>
      <c r="AW9" s="73"/>
    </row>
    <row r="10" s="2" customFormat="true" ht="15" hidden="false" customHeight="true" outlineLevel="0" collapsed="false">
      <c r="B10" s="24" t="s">
        <v>86</v>
      </c>
      <c r="C10" s="66" t="n">
        <f aca="false">VLOOKUP($B10,Unidades!$D$5:$N$32,6,FALSE())</f>
        <v>2072.94</v>
      </c>
      <c r="D10" s="66" t="n">
        <f aca="false">VLOOKUP($B10,Unidades!$D$5:$N$32,7,FALSE())</f>
        <v>742.17</v>
      </c>
      <c r="E10" s="66" t="n">
        <f aca="false">VLOOKUP($B10,Unidades!$D$5:$N$32,8,FALSE())</f>
        <v>695</v>
      </c>
      <c r="F10" s="66" t="n">
        <f aca="false">VLOOKUP($B10,Unidades!$D$5:$N$32,9,FALSE())</f>
        <v>635.77</v>
      </c>
      <c r="G10" s="66" t="n">
        <f aca="false">D10+E10*$E$6+F10*$F$6</f>
        <v>1048.997</v>
      </c>
      <c r="H10" s="67" t="n">
        <f aca="false">IF(G10&lt;750,1.5,IF(G10&lt;2000,2,3))</f>
        <v>2</v>
      </c>
      <c r="I10" s="67" t="n">
        <f aca="false">$I$6*H10</f>
        <v>2.4</v>
      </c>
      <c r="J10" s="67" t="str">
        <f aca="false">VLOOKUP($B10,Unidades!$D$7:$N$32,10,FALSE())</f>
        <v>SIM</v>
      </c>
      <c r="K10" s="67" t="str">
        <f aca="false">VLOOKUP($B10,Unidades!$D$7:$N$32,11,FALSE())</f>
        <v>SIM</v>
      </c>
      <c r="L10" s="67" t="n">
        <f aca="false">$L$6*H10+(IF(J10="SIM",$J$6,0))</f>
        <v>4.2</v>
      </c>
      <c r="M10" s="67" t="n">
        <f aca="false">$M$6*H10+(IF(J10="SIM",$J$6,0))+(IF(K10="SIM",$K$6,0))</f>
        <v>8.2</v>
      </c>
      <c r="N10" s="67" t="n">
        <f aca="false">H10*12+I10*4+L10*2+M10</f>
        <v>50.2</v>
      </c>
      <c r="O10" s="68" t="n">
        <f aca="false">IF(K10="não", N10*(C$25+D$25),N10*(C$25+D$25)+(M10*+E$25))</f>
        <v>2790.242</v>
      </c>
      <c r="P10" s="69"/>
      <c r="Q10" s="24" t="str">
        <f aca="false">B10</f>
        <v>APS CURITIBANOS</v>
      </c>
      <c r="R10" s="26" t="n">
        <f aca="false">H10*($C$25+$D$25)</f>
        <v>99.44</v>
      </c>
      <c r="S10" s="26" t="n">
        <f aca="false">I10*($C$25+$D$25)</f>
        <v>119.328</v>
      </c>
      <c r="T10" s="26" t="n">
        <f aca="false">L10*($C$25+$D$25)</f>
        <v>208.824</v>
      </c>
      <c r="U10" s="26" t="n">
        <f aca="false">IF(K10="não",M10*($C$25+$D$25),M10*(C$25+D$25+E$25))</f>
        <v>702.002</v>
      </c>
      <c r="V10" s="26" t="n">
        <f aca="false">VLOOKUP(Q10,'Desl. Base Florianópolis'!$C$5:$S$19,13,FALSE())*($C$25+$D$25+$E$25*(VLOOKUP(Q10,'Desl. Base Florianópolis'!$C$5:$S$19,17,FALSE())/12))</f>
        <v>491.967777777778</v>
      </c>
      <c r="W10" s="26" t="n">
        <f aca="false">VLOOKUP(Q10,'Desl. Base Florianópolis'!$C$5:$S$19,15,FALSE())*(2+(VLOOKUP(Q10,'Desl. Base Florianópolis'!$C$5:$S$19,17,FALSE())/12))</f>
        <v>276.541666666667</v>
      </c>
      <c r="X10" s="26" t="n">
        <f aca="false">VLOOKUP(Q10,'Desl. Base Florianópolis'!$C$5:$Q$19,14,FALSE())</f>
        <v>13.8</v>
      </c>
      <c r="Y10" s="26" t="n">
        <f aca="false">VLOOKUP(Q10,'Desl. Base Florianópolis'!$C$5:$Q$19,13,FALSE())*'Desl. Base Florianópolis'!$E$24+'Desl. Base Florianópolis'!$E$25*N10/12</f>
        <v>514.594166666667</v>
      </c>
      <c r="Z10" s="26" t="n">
        <f aca="false">(H10/$AC$5)*'Equipe Técnica'!$C$13</f>
        <v>277.875773125653</v>
      </c>
      <c r="AA10" s="26" t="n">
        <f aca="false">(I10/$AC$5)*'Equipe Técnica'!$C$13</f>
        <v>333.450927750783</v>
      </c>
      <c r="AB10" s="26" t="n">
        <f aca="false">(L10/$AC$5)*'Equipe Técnica'!$C$13</f>
        <v>583.539123563871</v>
      </c>
      <c r="AC10" s="26" t="n">
        <f aca="false">(M10/$AC$5)*'Equipe Técnica'!$C$13</f>
        <v>1139.29066981518</v>
      </c>
      <c r="AD10" s="26" t="n">
        <f aca="false">R10+(($V10+$W10+$X10+$Y10)*12/19)+$Z10</f>
        <v>1196.41279066951</v>
      </c>
      <c r="AE10" s="26" t="n">
        <f aca="false">S10+(($V10+$W10+$X10+$Y10)*12/19)+$AA10</f>
        <v>1271.87594529464</v>
      </c>
      <c r="AF10" s="26" t="n">
        <f aca="false">T10+(($V10+$W10+$X10+$Y10)*12/19)+$AB10</f>
        <v>1611.46014110773</v>
      </c>
      <c r="AG10" s="26" t="n">
        <f aca="false">U10+(($V10+$W10+$X10+$Y10)*12/19)+$AC10</f>
        <v>2660.38968735904</v>
      </c>
      <c r="AI10" s="24" t="str">
        <f aca="false">B10</f>
        <v>APS CURITIBANOS</v>
      </c>
      <c r="AJ10" s="70" t="n">
        <f aca="false">VLOOKUP(AI10,Unidades!D$5:H$32,5,)</f>
        <v>0.3127</v>
      </c>
      <c r="AK10" s="50" t="n">
        <f aca="false">AD10*(1+$AJ10)</f>
        <v>1570.53107031187</v>
      </c>
      <c r="AL10" s="50" t="n">
        <f aca="false">AE10*(1+$AJ10)</f>
        <v>1669.59155338828</v>
      </c>
      <c r="AM10" s="50" t="n">
        <f aca="false">AF10*(1+$AJ10)</f>
        <v>2115.36372723212</v>
      </c>
      <c r="AN10" s="50" t="n">
        <f aca="false">AG10*(1+$AJ10)</f>
        <v>3492.29354259621</v>
      </c>
      <c r="AO10" s="50" t="n">
        <f aca="false">((AK10*12)+(AL10*4)+(AM10*2)+AN10)/12</f>
        <v>2770.64667119633</v>
      </c>
      <c r="AP10" s="50" t="n">
        <f aca="false">AO10*3</f>
        <v>8311.940013589</v>
      </c>
      <c r="AQ10" s="50" t="n">
        <f aca="false">AO10+AP10</f>
        <v>11082.5866847853</v>
      </c>
      <c r="AR10" s="71"/>
      <c r="AS10" s="74" t="s">
        <v>72</v>
      </c>
      <c r="AT10" s="50" t="n">
        <f aca="false">(SUM(AT8:AW8))/12</f>
        <v>16954.1259226016</v>
      </c>
      <c r="AU10" s="50"/>
      <c r="AV10" s="73"/>
      <c r="AW10" s="73"/>
    </row>
    <row r="11" s="2" customFormat="true" ht="15" hidden="false" customHeight="true" outlineLevel="0" collapsed="false">
      <c r="B11" s="24" t="s">
        <v>87</v>
      </c>
      <c r="C11" s="66" t="n">
        <f aca="false">VLOOKUP($B11,Unidades!$D$5:$N$32,6,FALSE())</f>
        <v>3639.25</v>
      </c>
      <c r="D11" s="66" t="n">
        <f aca="false">VLOOKUP($B11,Unidades!$D$5:$N$32,7,FALSE())</f>
        <v>319.46</v>
      </c>
      <c r="E11" s="66" t="n">
        <f aca="false">VLOOKUP($B11,Unidades!$D$5:$N$32,8,FALSE())</f>
        <v>507.75</v>
      </c>
      <c r="F11" s="66" t="n">
        <f aca="false">VLOOKUP($B11,Unidades!$D$5:$N$32,9,FALSE())</f>
        <v>2812.04</v>
      </c>
      <c r="G11" s="66" t="n">
        <f aca="false">D11+E11*$E$6+F11*$F$6</f>
        <v>778.3765</v>
      </c>
      <c r="H11" s="67" t="n">
        <f aca="false">IF(G11&lt;750,1.5,IF(G11&lt;2000,2,3))</f>
        <v>2</v>
      </c>
      <c r="I11" s="67" t="n">
        <f aca="false">$I$6*H11</f>
        <v>2.4</v>
      </c>
      <c r="J11" s="67" t="str">
        <f aca="false">VLOOKUP($B11,Unidades!$D$7:$N$32,10,FALSE())</f>
        <v>SIM</v>
      </c>
      <c r="K11" s="67" t="str">
        <f aca="false">VLOOKUP($B11,Unidades!$D$7:$N$32,11,FALSE())</f>
        <v>SIM</v>
      </c>
      <c r="L11" s="67" t="n">
        <f aca="false">$L$6*H11+(IF(J11="SIM",$J$6,0))</f>
        <v>4.2</v>
      </c>
      <c r="M11" s="67" t="n">
        <f aca="false">$M$6*H11+(IF(J11="SIM",$J$6,0))+(IF(K11="SIM",$K$6,0))</f>
        <v>8.2</v>
      </c>
      <c r="N11" s="67" t="n">
        <f aca="false">H11*12+I11*4+L11*2+M11</f>
        <v>50.2</v>
      </c>
      <c r="O11" s="68" t="n">
        <f aca="false">IF(K11="não", N11*(C$25+D$25),N11*(C$25+D$25)+(M11*+E$25))</f>
        <v>2790.242</v>
      </c>
      <c r="P11" s="69"/>
      <c r="Q11" s="24" t="str">
        <f aca="false">B11</f>
        <v>DEPÓSITO FLORIANÓPOLIS - CONTINENTE</v>
      </c>
      <c r="R11" s="26" t="n">
        <f aca="false">H11*($C$25+$D$25)</f>
        <v>99.44</v>
      </c>
      <c r="S11" s="26" t="n">
        <f aca="false">I11*($C$25+$D$25)</f>
        <v>119.328</v>
      </c>
      <c r="T11" s="26" t="n">
        <f aca="false">L11*($C$25+$D$25)</f>
        <v>208.824</v>
      </c>
      <c r="U11" s="26" t="n">
        <f aca="false">IF(K11="não",M11*($C$25+$D$25),M11*(C$25+D$25+E$25))</f>
        <v>702.002</v>
      </c>
      <c r="V11" s="26" t="n">
        <f aca="false">VLOOKUP(Q11,'Desl. Base Florianópolis'!$C$5:$S$19,13,FALSE())*($C$25+$D$25+$E$25*(VLOOKUP(Q11,'Desl. Base Florianópolis'!$C$5:$S$19,17,FALSE())/12))</f>
        <v>10.1029097222222</v>
      </c>
      <c r="W11" s="26" t="n">
        <f aca="false">VLOOKUP(Q11,'Desl. Base Florianópolis'!$C$5:$S$19,15,FALSE())*(2+(VLOOKUP(Q11,'Desl. Base Florianópolis'!$C$5:$S$19,17,FALSE())/12))</f>
        <v>0</v>
      </c>
      <c r="X11" s="26" t="n">
        <f aca="false">VLOOKUP(Q11,'Desl. Base Florianópolis'!$C$5:$Q$19,14,FALSE())</f>
        <v>0</v>
      </c>
      <c r="Y11" s="26" t="n">
        <f aca="false">VLOOKUP(Q11,'Desl. Base Florianópolis'!$C$5:$Q$19,13,FALSE())*'Desl. Base Florianópolis'!$E$24+'Desl. Base Florianópolis'!$E$25*N11/12</f>
        <v>39.0446666666667</v>
      </c>
      <c r="Z11" s="26" t="n">
        <f aca="false">(H11/$AC$5)*'Equipe Técnica'!$C$13</f>
        <v>277.875773125653</v>
      </c>
      <c r="AA11" s="26" t="n">
        <f aca="false">(I11/$AC$5)*'Equipe Técnica'!$C$13</f>
        <v>333.450927750783</v>
      </c>
      <c r="AB11" s="26" t="n">
        <f aca="false">(L11/$AC$5)*'Equipe Técnica'!$C$13</f>
        <v>583.539123563871</v>
      </c>
      <c r="AC11" s="26" t="n">
        <f aca="false">(M11/$AC$5)*'Equipe Técnica'!$C$13</f>
        <v>1139.29066981518</v>
      </c>
      <c r="AD11" s="26" t="n">
        <f aca="false">R11+(($V11+$W11+$X11+$Y11)*12/19)+$Z11</f>
        <v>408.356347687056</v>
      </c>
      <c r="AE11" s="26" t="n">
        <f aca="false">S11+(($V11+$W11+$X11+$Y11)*12/19)+$AA11</f>
        <v>483.819502312187</v>
      </c>
      <c r="AF11" s="26" t="n">
        <f aca="false">T11+(($V11+$W11+$X11+$Y11)*12/19)+$AB11</f>
        <v>823.403698125274</v>
      </c>
      <c r="AG11" s="26" t="n">
        <f aca="false">U11+(($V11+$W11+$X11+$Y11)*12/19)+$AC11</f>
        <v>1872.33324437658</v>
      </c>
      <c r="AI11" s="24" t="str">
        <f aca="false">B11</f>
        <v>DEPÓSITO FLORIANÓPOLIS - CONTINENTE</v>
      </c>
      <c r="AJ11" s="70" t="n">
        <f aca="false">VLOOKUP(AI11,Unidades!D$5:H$32,5,)</f>
        <v>0.2979</v>
      </c>
      <c r="AK11" s="50" t="n">
        <f aca="false">AD11*(1+$AJ11)</f>
        <v>530.00570366303</v>
      </c>
      <c r="AL11" s="50" t="n">
        <f aca="false">AE11*(1+$AJ11)</f>
        <v>627.949332050987</v>
      </c>
      <c r="AM11" s="50" t="n">
        <f aca="false">AF11*(1+$AJ11)</f>
        <v>1068.69565979679</v>
      </c>
      <c r="AN11" s="50" t="n">
        <f aca="false">AG11*(1+$AJ11)</f>
        <v>2430.10131787636</v>
      </c>
      <c r="AO11" s="50" t="n">
        <f aca="false">((AK11*12)+(AL11*4)+(AM11*2)+AN11)/12</f>
        <v>1119.94653413586</v>
      </c>
      <c r="AP11" s="50" t="n">
        <f aca="false">AO11*3</f>
        <v>3359.83960240757</v>
      </c>
      <c r="AQ11" s="50" t="n">
        <f aca="false">AO11+AP11</f>
        <v>4479.78613654342</v>
      </c>
      <c r="AR11" s="71"/>
      <c r="AS11" s="74" t="s">
        <v>88</v>
      </c>
      <c r="AT11" s="50" t="n">
        <f aca="false">AT10*12</f>
        <v>203449.511071219</v>
      </c>
      <c r="AU11" s="50"/>
      <c r="AV11" s="73"/>
      <c r="AW11" s="73"/>
    </row>
    <row r="12" s="2" customFormat="true" ht="15" hidden="false" customHeight="true" outlineLevel="0" collapsed="false">
      <c r="B12" s="24" t="s">
        <v>89</v>
      </c>
      <c r="C12" s="66" t="n">
        <f aca="false">VLOOKUP($B12,Unidades!$D$5:$N$32,6,FALSE())</f>
        <v>334.4</v>
      </c>
      <c r="D12" s="66" t="n">
        <f aca="false">VLOOKUP($B12,Unidades!$D$5:$N$32,7,FALSE())</f>
        <v>296</v>
      </c>
      <c r="E12" s="66" t="n">
        <f aca="false">VLOOKUP($B12,Unidades!$D$5:$N$32,8,FALSE())</f>
        <v>38.4</v>
      </c>
      <c r="F12" s="66" t="n">
        <f aca="false">VLOOKUP($B12,Unidades!$D$5:$N$32,9,FALSE())</f>
        <v>0</v>
      </c>
      <c r="G12" s="66" t="n">
        <f aca="false">D12+E12*$E$6+F12*$F$6</f>
        <v>309.44</v>
      </c>
      <c r="H12" s="67" t="n">
        <f aca="false">IF(G12&lt;750,1.5,IF(G12&lt;2000,2,3))</f>
        <v>1.5</v>
      </c>
      <c r="I12" s="67" t="n">
        <f aca="false">$I$6*H12</f>
        <v>1.8</v>
      </c>
      <c r="J12" s="67" t="str">
        <f aca="false">VLOOKUP($B12,Unidades!$D$7:$N$32,10,FALSE())</f>
        <v>NÃO</v>
      </c>
      <c r="K12" s="67" t="str">
        <f aca="false">VLOOKUP($B12,Unidades!$D$7:$N$32,11,FALSE())</f>
        <v>NÃO</v>
      </c>
      <c r="L12" s="67" t="n">
        <f aca="false">$L$6*H12+(IF(J12="SIM",$J$6,0))</f>
        <v>1.65</v>
      </c>
      <c r="M12" s="67" t="n">
        <f aca="false">$M$6*H12+(IF(J12="SIM",$J$6,0))+(IF(K12="SIM",$K$6,0))</f>
        <v>1.65</v>
      </c>
      <c r="N12" s="67" t="n">
        <f aca="false">H12*12+I12*4+L12*2+M12</f>
        <v>30.15</v>
      </c>
      <c r="O12" s="68" t="n">
        <f aca="false">IF(K12="não", N12*(C$25+D$25),N12*(C$25+D$25)+(M12*+E$25))</f>
        <v>1499.058</v>
      </c>
      <c r="P12" s="69"/>
      <c r="Q12" s="24" t="str">
        <f aca="false">B12</f>
        <v>APS ITAPEMA</v>
      </c>
      <c r="R12" s="26" t="n">
        <f aca="false">H12*($C$25+$D$25)</f>
        <v>74.58</v>
      </c>
      <c r="S12" s="26" t="n">
        <f aca="false">I12*($C$25+$D$25)</f>
        <v>89.496</v>
      </c>
      <c r="T12" s="26" t="n">
        <f aca="false">L12*($C$25+$D$25)</f>
        <v>82.038</v>
      </c>
      <c r="U12" s="26" t="n">
        <f aca="false">IF(K12="não",M12*($C$25+$D$25),M12*(C$25+D$25+E$25))</f>
        <v>82.038</v>
      </c>
      <c r="V12" s="26" t="n">
        <f aca="false">VLOOKUP(Q12,'Desl. Base Florianópolis'!$C$5:$S$19,13,FALSE())*($C$25+$D$25+$E$25*(VLOOKUP(Q12,'Desl. Base Florianópolis'!$C$5:$S$19,17,FALSE())/12))</f>
        <v>47.234</v>
      </c>
      <c r="W12" s="26" t="n">
        <f aca="false">VLOOKUP(Q12,'Desl. Base Florianópolis'!$C$5:$S$19,15,FALSE())*(2+(VLOOKUP(Q12,'Desl. Base Florianópolis'!$C$5:$S$19,17,FALSE())/12))</f>
        <v>0</v>
      </c>
      <c r="X12" s="26" t="n">
        <f aca="false">VLOOKUP(Q12,'Desl. Base Florianópolis'!$C$5:$Q$19,14,FALSE())</f>
        <v>4.9</v>
      </c>
      <c r="Y12" s="26" t="n">
        <f aca="false">VLOOKUP(Q12,'Desl. Base Florianópolis'!$C$5:$Q$19,13,FALSE())*'Desl. Base Florianópolis'!$E$24+'Desl. Base Florianópolis'!$E$25*N12/12</f>
        <v>66.880875</v>
      </c>
      <c r="Z12" s="26" t="n">
        <f aca="false">(H12/$AC$5)*'Equipe Técnica'!$C$13</f>
        <v>208.40682984424</v>
      </c>
      <c r="AA12" s="26" t="n">
        <f aca="false">(I12/$AC$5)*'Equipe Técnica'!$C$13</f>
        <v>250.088195813088</v>
      </c>
      <c r="AB12" s="26" t="n">
        <f aca="false">(L12/$AC$5)*'Equipe Técnica'!$C$13</f>
        <v>229.247512828664</v>
      </c>
      <c r="AC12" s="26" t="n">
        <f aca="false">(M12/$AC$5)*'Equipe Técnica'!$C$13</f>
        <v>229.247512828664</v>
      </c>
      <c r="AD12" s="26" t="n">
        <f aca="false">R12+(($V12+$W12+$X12+$Y12)*12/19)+$Z12</f>
        <v>358.154119317924</v>
      </c>
      <c r="AE12" s="26" t="n">
        <f aca="false">S12+(($V12+$W12+$X12+$Y12)*12/19)+$AA12</f>
        <v>414.751485286772</v>
      </c>
      <c r="AF12" s="26" t="n">
        <f aca="false">T12+(($V12+$W12+$X12+$Y12)*12/19)+$AB12</f>
        <v>386.452802302348</v>
      </c>
      <c r="AG12" s="26" t="n">
        <f aca="false">U12+(($V12+$W12+$X12+$Y12)*12/19)+$AC12</f>
        <v>386.452802302348</v>
      </c>
      <c r="AI12" s="24" t="str">
        <f aca="false">B12</f>
        <v>APS ITAPEMA</v>
      </c>
      <c r="AJ12" s="70" t="n">
        <f aca="false">VLOOKUP(AI12,Unidades!D$5:H$32,5,)</f>
        <v>0.3278</v>
      </c>
      <c r="AK12" s="50" t="n">
        <f aca="false">AD12*(1+$AJ12)</f>
        <v>475.557039630339</v>
      </c>
      <c r="AL12" s="50" t="n">
        <f aca="false">AE12*(1+$AJ12)</f>
        <v>550.707022163776</v>
      </c>
      <c r="AM12" s="50" t="n">
        <f aca="false">AF12*(1+$AJ12)</f>
        <v>513.132030897057</v>
      </c>
      <c r="AN12" s="50" t="n">
        <f aca="false">AG12*(1+$AJ12)</f>
        <v>513.132030897057</v>
      </c>
      <c r="AO12" s="50" t="n">
        <f aca="false">((AK12*12)+(AL12*4)+(AM12*2)+AN12)/12</f>
        <v>787.409054742529</v>
      </c>
      <c r="AP12" s="50" t="n">
        <f aca="false">AO12*3</f>
        <v>2362.22716422759</v>
      </c>
      <c r="AQ12" s="50" t="n">
        <f aca="false">AO12+AP12</f>
        <v>3149.63621897011</v>
      </c>
      <c r="AR12" s="71"/>
      <c r="AS12" s="74" t="s">
        <v>73</v>
      </c>
      <c r="AT12" s="50" t="n">
        <f aca="false">AT10*3</f>
        <v>50862.3777678048</v>
      </c>
      <c r="AU12" s="50"/>
      <c r="AV12" s="71"/>
      <c r="AW12" s="71"/>
    </row>
    <row r="13" s="2" customFormat="true" ht="15" hidden="false" customHeight="true" outlineLevel="0" collapsed="false">
      <c r="B13" s="24" t="s">
        <v>90</v>
      </c>
      <c r="C13" s="66" t="n">
        <f aca="false">VLOOKUP($B13,Unidades!$D$5:$N$32,6,FALSE())</f>
        <v>3202.15</v>
      </c>
      <c r="D13" s="66" t="n">
        <f aca="false">VLOOKUP($B13,Unidades!$D$5:$N$32,7,FALSE())</f>
        <v>1561.81</v>
      </c>
      <c r="E13" s="66" t="n">
        <f aca="false">VLOOKUP($B13,Unidades!$D$5:$N$32,8,FALSE())</f>
        <v>732</v>
      </c>
      <c r="F13" s="66" t="n">
        <f aca="false">VLOOKUP($B13,Unidades!$D$5:$N$32,9,FALSE())</f>
        <v>908.34</v>
      </c>
      <c r="G13" s="66" t="n">
        <f aca="false">D13+E13*$E$6+F13*$F$6</f>
        <v>1908.844</v>
      </c>
      <c r="H13" s="67" t="n">
        <f aca="false">IF(G13&lt;750,1.5,IF(G13&lt;2000,2,3))</f>
        <v>2</v>
      </c>
      <c r="I13" s="67" t="n">
        <f aca="false">$I$6*H13</f>
        <v>2.4</v>
      </c>
      <c r="J13" s="67" t="str">
        <f aca="false">VLOOKUP($B13,Unidades!$D$7:$N$32,10,FALSE())</f>
        <v>NÃO</v>
      </c>
      <c r="K13" s="67" t="str">
        <f aca="false">VLOOKUP($B13,Unidades!$D$7:$N$32,11,FALSE())</f>
        <v>SIM</v>
      </c>
      <c r="L13" s="67" t="n">
        <f aca="false">$L$6*H13+(IF(J13="SIM",$J$6,0))</f>
        <v>2.2</v>
      </c>
      <c r="M13" s="67" t="n">
        <f aca="false">$M$6*H13+(IF(J13="SIM",$J$6,0))+(IF(K13="SIM",$K$6,0))</f>
        <v>6.2</v>
      </c>
      <c r="N13" s="67" t="n">
        <f aca="false">H13*12+I13*4+L13*2+M13</f>
        <v>44.2</v>
      </c>
      <c r="O13" s="68" t="n">
        <f aca="false">IF(K13="não", N13*(C$25+D$25),N13*(C$25+D$25)+(M13*+E$25))</f>
        <v>2420.142</v>
      </c>
      <c r="P13" s="69"/>
      <c r="Q13" s="24" t="str">
        <f aca="false">B13</f>
        <v>APS LAGES</v>
      </c>
      <c r="R13" s="26" t="n">
        <f aca="false">H13*($C$25+$D$25)</f>
        <v>99.44</v>
      </c>
      <c r="S13" s="26" t="n">
        <f aca="false">I13*($C$25+$D$25)</f>
        <v>119.328</v>
      </c>
      <c r="T13" s="26" t="n">
        <f aca="false">L13*($C$25+$D$25)</f>
        <v>109.384</v>
      </c>
      <c r="U13" s="26" t="n">
        <f aca="false">IF(K13="não",M13*($C$25+$D$25),M13*(C$25+D$25+E$25))</f>
        <v>530.782</v>
      </c>
      <c r="V13" s="26" t="n">
        <f aca="false">VLOOKUP(Q13,'Desl. Base Florianópolis'!$C$5:$S$19,13,FALSE())*($C$25+$D$25+$E$25*(VLOOKUP(Q13,'Desl. Base Florianópolis'!$C$5:$S$19,17,FALSE())/12))</f>
        <v>193.273055555556</v>
      </c>
      <c r="W13" s="26" t="n">
        <f aca="false">VLOOKUP(Q13,'Desl. Base Florianópolis'!$C$5:$S$19,15,FALSE())*(2+(VLOOKUP(Q13,'Desl. Base Florianópolis'!$C$5:$S$19,17,FALSE())/12))</f>
        <v>138.270833333333</v>
      </c>
      <c r="X13" s="26" t="n">
        <f aca="false">VLOOKUP(Q13,'Desl. Base Florianópolis'!$C$5:$Q$19,14,FALSE())</f>
        <v>0</v>
      </c>
      <c r="Y13" s="26" t="n">
        <f aca="false">VLOOKUP(Q13,'Desl. Base Florianópolis'!$C$5:$Q$19,13,FALSE())*'Desl. Base Florianópolis'!$E$24+'Desl. Base Florianópolis'!$E$25*N13/12</f>
        <v>216.339166666667</v>
      </c>
      <c r="Z13" s="26" t="n">
        <f aca="false">(H13/$AC$5)*'Equipe Técnica'!$C$13</f>
        <v>277.875773125653</v>
      </c>
      <c r="AA13" s="26" t="n">
        <f aca="false">(I13/$AC$5)*'Equipe Técnica'!$C$13</f>
        <v>333.450927750783</v>
      </c>
      <c r="AB13" s="26" t="n">
        <f aca="false">(L13/$AC$5)*'Equipe Técnica'!$C$13</f>
        <v>305.663350438218</v>
      </c>
      <c r="AC13" s="26" t="n">
        <f aca="false">(M13/$AC$5)*'Equipe Técnica'!$C$13</f>
        <v>861.414896689524</v>
      </c>
      <c r="AD13" s="26" t="n">
        <f aca="false">R13+(($V13+$W13+$X13+$Y13)*12/19)+$Z13</f>
        <v>723.347176634425</v>
      </c>
      <c r="AE13" s="26" t="n">
        <f aca="false">S13+(($V13+$W13+$X13+$Y13)*12/19)+$AA13</f>
        <v>798.810331259556</v>
      </c>
      <c r="AF13" s="26" t="n">
        <f aca="false">T13+(($V13+$W13+$X13+$Y13)*12/19)+$AB13</f>
        <v>761.07875394699</v>
      </c>
      <c r="AG13" s="26" t="n">
        <f aca="false">U13+(($V13+$W13+$X13+$Y13)*12/19)+$AC13</f>
        <v>1738.2283001983</v>
      </c>
      <c r="AI13" s="24" t="str">
        <f aca="false">B13</f>
        <v>APS LAGES</v>
      </c>
      <c r="AJ13" s="70" t="n">
        <f aca="false">VLOOKUP(AI13,Unidades!D$5:H$32,5,)</f>
        <v>0.2835</v>
      </c>
      <c r="AK13" s="50" t="n">
        <f aca="false">AD13*(1+$AJ13)</f>
        <v>928.416101210285</v>
      </c>
      <c r="AL13" s="50" t="n">
        <f aca="false">AE13*(1+$AJ13)</f>
        <v>1025.27306017164</v>
      </c>
      <c r="AM13" s="50" t="n">
        <f aca="false">AF13*(1+$AJ13)</f>
        <v>976.844580690962</v>
      </c>
      <c r="AN13" s="50" t="n">
        <f aca="false">AG13*(1+$AJ13)</f>
        <v>2231.01602330451</v>
      </c>
      <c r="AO13" s="50" t="n">
        <f aca="false">((AK13*12)+(AL13*4)+(AM13*2)+AN13)/12</f>
        <v>1618.89921999137</v>
      </c>
      <c r="AP13" s="50" t="n">
        <f aca="false">AO13*3</f>
        <v>4856.6976599741</v>
      </c>
      <c r="AQ13" s="50" t="n">
        <f aca="false">AO13+AP13</f>
        <v>6475.59687996547</v>
      </c>
      <c r="AR13" s="71"/>
      <c r="AS13" s="74" t="s">
        <v>91</v>
      </c>
      <c r="AT13" s="50" t="n">
        <f aca="false">AT12*12</f>
        <v>610348.533213658</v>
      </c>
      <c r="AU13" s="50"/>
      <c r="AV13" s="73"/>
      <c r="AW13" s="73"/>
    </row>
    <row r="14" s="2" customFormat="true" ht="15" hidden="false" customHeight="true" outlineLevel="0" collapsed="false">
      <c r="B14" s="24" t="s">
        <v>92</v>
      </c>
      <c r="C14" s="66" t="n">
        <f aca="false">VLOOKUP($B14,Unidades!$D$5:$N$32,6,FALSE())</f>
        <v>529.71</v>
      </c>
      <c r="D14" s="66" t="n">
        <f aca="false">VLOOKUP($B14,Unidades!$D$5:$N$32,7,FALSE())</f>
        <v>482.71</v>
      </c>
      <c r="E14" s="66" t="n">
        <f aca="false">VLOOKUP($B14,Unidades!$D$5:$N$32,8,FALSE())</f>
        <v>0</v>
      </c>
      <c r="F14" s="66" t="n">
        <f aca="false">VLOOKUP($B14,Unidades!$D$5:$N$32,9,FALSE())</f>
        <v>47</v>
      </c>
      <c r="G14" s="66" t="n">
        <f aca="false">D14+E14*$E$6+F14*$F$6</f>
        <v>487.41</v>
      </c>
      <c r="H14" s="67" t="n">
        <f aca="false">IF(G14&lt;750,1.5,IF(G14&lt;2000,2,3))</f>
        <v>1.5</v>
      </c>
      <c r="I14" s="67" t="n">
        <f aca="false">$I$6*H14</f>
        <v>1.8</v>
      </c>
      <c r="J14" s="67" t="str">
        <f aca="false">VLOOKUP($B14,Unidades!$D$7:$N$32,10,FALSE())</f>
        <v>NÃO</v>
      </c>
      <c r="K14" s="67" t="str">
        <f aca="false">VLOOKUP($B14,Unidades!$D$7:$N$32,11,FALSE())</f>
        <v>NÃO</v>
      </c>
      <c r="L14" s="67" t="n">
        <f aca="false">$L$6*H14+(IF(J14="SIM",$J$6,0))</f>
        <v>1.65</v>
      </c>
      <c r="M14" s="67" t="n">
        <f aca="false">$M$6*H14+(IF(J14="SIM",$J$6,0))+(IF(K14="SIM",$K$6,0))</f>
        <v>1.65</v>
      </c>
      <c r="N14" s="67" t="n">
        <f aca="false">H14*12+I14*4+L14*2+M14</f>
        <v>30.15</v>
      </c>
      <c r="O14" s="68" t="n">
        <f aca="false">IF(K14="não", N14*(C$25+D$25),N14*(C$25+D$25)+(M14*+E$25))</f>
        <v>1499.058</v>
      </c>
      <c r="P14" s="69"/>
      <c r="Q14" s="24" t="str">
        <f aca="false">B14</f>
        <v>APS PALHOÇA</v>
      </c>
      <c r="R14" s="26" t="n">
        <f aca="false">H14*($C$25+$D$25)</f>
        <v>74.58</v>
      </c>
      <c r="S14" s="26" t="n">
        <f aca="false">I14*($C$25+$D$25)</f>
        <v>89.496</v>
      </c>
      <c r="T14" s="26" t="n">
        <f aca="false">L14*($C$25+$D$25)</f>
        <v>82.038</v>
      </c>
      <c r="U14" s="26" t="n">
        <f aca="false">IF(K14="não",M14*($C$25+$D$25),M14*(C$25+D$25+E$25))</f>
        <v>82.038</v>
      </c>
      <c r="V14" s="26" t="n">
        <f aca="false">VLOOKUP(Q14,'Desl. Base Florianópolis'!$C$5:$S$19,13,FALSE())*($C$25+$D$25+$E$25*(VLOOKUP(Q14,'Desl. Base Florianópolis'!$C$5:$S$19,17,FALSE())/12))</f>
        <v>15.7446666666667</v>
      </c>
      <c r="W14" s="26" t="n">
        <f aca="false">VLOOKUP(Q14,'Desl. Base Florianópolis'!$C$5:$S$19,15,FALSE())*(2+(VLOOKUP(Q14,'Desl. Base Florianópolis'!$C$5:$S$19,17,FALSE())/12))</f>
        <v>0</v>
      </c>
      <c r="X14" s="26" t="n">
        <f aca="false">VLOOKUP(Q14,'Desl. Base Florianópolis'!$C$5:$Q$19,14,FALSE())</f>
        <v>0</v>
      </c>
      <c r="Y14" s="26" t="n">
        <f aca="false">VLOOKUP(Q14,'Desl. Base Florianópolis'!$C$5:$Q$19,13,FALSE())*'Desl. Base Florianópolis'!$E$24+'Desl. Base Florianópolis'!$E$25*N14/12</f>
        <v>33.934875</v>
      </c>
      <c r="Z14" s="26" t="n">
        <f aca="false">(H14/$AC$5)*'Equipe Técnica'!$C$13</f>
        <v>208.40682984424</v>
      </c>
      <c r="AA14" s="26" t="n">
        <f aca="false">(I14/$AC$5)*'Equipe Técnica'!$C$13</f>
        <v>250.088195813088</v>
      </c>
      <c r="AB14" s="26" t="n">
        <f aca="false">(L14/$AC$5)*'Equipe Técnica'!$C$13</f>
        <v>229.247512828664</v>
      </c>
      <c r="AC14" s="26" t="n">
        <f aca="false">(M14/$AC$5)*'Equipe Técnica'!$C$13</f>
        <v>229.247512828664</v>
      </c>
      <c r="AD14" s="26" t="n">
        <f aca="false">R14+(($V14+$W14+$X14+$Y14)*12/19)+$Z14</f>
        <v>314.363382475819</v>
      </c>
      <c r="AE14" s="26" t="n">
        <f aca="false">S14+(($V14+$W14+$X14+$Y14)*12/19)+$AA14</f>
        <v>370.960748444667</v>
      </c>
      <c r="AF14" s="26" t="n">
        <f aca="false">T14+(($V14+$W14+$X14+$Y14)*12/19)+$AB14</f>
        <v>342.662065460243</v>
      </c>
      <c r="AG14" s="26" t="n">
        <f aca="false">U14+(($V14+$W14+$X14+$Y14)*12/19)+$AC14</f>
        <v>342.662065460243</v>
      </c>
      <c r="AI14" s="24" t="str">
        <f aca="false">B14</f>
        <v>APS PALHOÇA</v>
      </c>
      <c r="AJ14" s="70" t="n">
        <f aca="false">VLOOKUP(AI14,Unidades!D$5:H$32,5,)</f>
        <v>0.2835</v>
      </c>
      <c r="AK14" s="50" t="n">
        <f aca="false">AD14*(1+$AJ14)</f>
        <v>403.485401407713</v>
      </c>
      <c r="AL14" s="50" t="n">
        <f aca="false">AE14*(1+$AJ14)</f>
        <v>476.128120628729</v>
      </c>
      <c r="AM14" s="50" t="n">
        <f aca="false">AF14*(1+$AJ14)</f>
        <v>439.806761018221</v>
      </c>
      <c r="AN14" s="50" t="n">
        <f aca="false">AG14*(1+$AJ14)</f>
        <v>439.806761018221</v>
      </c>
      <c r="AO14" s="50" t="n">
        <f aca="false">((AK14*12)+(AL14*4)+(AM14*2)+AN14)/12</f>
        <v>672.146465205178</v>
      </c>
      <c r="AP14" s="50" t="n">
        <f aca="false">AO14*3</f>
        <v>2016.43939561554</v>
      </c>
      <c r="AQ14" s="50" t="n">
        <f aca="false">AO14+AP14</f>
        <v>2688.58586082071</v>
      </c>
      <c r="AR14" s="71"/>
      <c r="AS14" s="74" t="s">
        <v>93</v>
      </c>
      <c r="AT14" s="50" t="n">
        <f aca="false">AT10+AT12</f>
        <v>67816.5036904064</v>
      </c>
      <c r="AU14" s="50"/>
      <c r="AV14" s="73"/>
      <c r="AW14" s="73"/>
    </row>
    <row r="15" s="2" customFormat="true" ht="15" hidden="false" customHeight="true" outlineLevel="0" collapsed="false">
      <c r="B15" s="24" t="s">
        <v>94</v>
      </c>
      <c r="C15" s="66" t="n">
        <f aca="false">VLOOKUP($B15,Unidades!$D$5:$N$32,6,FALSE())</f>
        <v>523.97</v>
      </c>
      <c r="D15" s="66" t="n">
        <f aca="false">VLOOKUP($B15,Unidades!$D$5:$N$32,7,FALSE())</f>
        <v>460.97</v>
      </c>
      <c r="E15" s="66" t="n">
        <f aca="false">VLOOKUP($B15,Unidades!$D$5:$N$32,8,FALSE())</f>
        <v>63</v>
      </c>
      <c r="F15" s="66" t="n">
        <f aca="false">VLOOKUP($B15,Unidades!$D$5:$N$32,9,FALSE())</f>
        <v>0</v>
      </c>
      <c r="G15" s="66" t="n">
        <f aca="false">D15+E15*$E$6+F15*$F$6</f>
        <v>483.02</v>
      </c>
      <c r="H15" s="67" t="n">
        <f aca="false">IF(G15&lt;750,1.5,IF(G15&lt;2000,2,3))</f>
        <v>1.5</v>
      </c>
      <c r="I15" s="67" t="n">
        <f aca="false">$I$6*H15</f>
        <v>1.8</v>
      </c>
      <c r="J15" s="67" t="str">
        <f aca="false">VLOOKUP($B15,Unidades!$D$7:$N$32,10,FALSE())</f>
        <v>NÃO</v>
      </c>
      <c r="K15" s="67" t="str">
        <f aca="false">VLOOKUP($B15,Unidades!$D$7:$N$32,11,FALSE())</f>
        <v>NÃO</v>
      </c>
      <c r="L15" s="67" t="n">
        <f aca="false">$L$6*H15+(IF(J15="SIM",$J$6,0))</f>
        <v>1.65</v>
      </c>
      <c r="M15" s="67" t="n">
        <f aca="false">$M$6*H15+(IF(J15="SIM",$J$6,0))+(IF(K15="SIM",$K$6,0))</f>
        <v>1.65</v>
      </c>
      <c r="N15" s="67" t="n">
        <f aca="false">H15*12+I15*4+L15*2+M15</f>
        <v>30.15</v>
      </c>
      <c r="O15" s="68" t="n">
        <f aca="false">IF(K15="não", N15*(C$25+D$25),N15*(C$25+D$25)+(M15*+E$25))</f>
        <v>1499.058</v>
      </c>
      <c r="P15" s="69"/>
      <c r="Q15" s="24" t="str">
        <f aca="false">B15</f>
        <v>APS SÃO JOSÉ</v>
      </c>
      <c r="R15" s="26" t="n">
        <f aca="false">H15*($C$25+$D$25)</f>
        <v>74.58</v>
      </c>
      <c r="S15" s="26" t="n">
        <f aca="false">I15*($C$25+$D$25)</f>
        <v>89.496</v>
      </c>
      <c r="T15" s="26" t="n">
        <f aca="false">L15*($C$25+$D$25)</f>
        <v>82.038</v>
      </c>
      <c r="U15" s="26" t="n">
        <f aca="false">IF(K15="não",M15*($C$25+$D$25),M15*(C$25+D$25+E$25))</f>
        <v>82.038</v>
      </c>
      <c r="V15" s="26" t="n">
        <f aca="false">VLOOKUP(Q15,'Desl. Base Florianópolis'!$C$5:$S$19,13,FALSE())*($C$25+$D$25+$E$25*(VLOOKUP(Q15,'Desl. Base Florianópolis'!$C$5:$S$19,17,FALSE())/12))</f>
        <v>10.1029097222222</v>
      </c>
      <c r="W15" s="26" t="n">
        <f aca="false">VLOOKUP(Q15,'Desl. Base Florianópolis'!$C$5:$S$19,15,FALSE())*(2+(VLOOKUP(Q15,'Desl. Base Florianópolis'!$C$5:$S$19,17,FALSE())/12))</f>
        <v>0</v>
      </c>
      <c r="X15" s="26" t="n">
        <f aca="false">VLOOKUP(Q15,'Desl. Base Florianópolis'!$C$5:$Q$19,14,FALSE())</f>
        <v>0</v>
      </c>
      <c r="Y15" s="26" t="n">
        <f aca="false">VLOOKUP(Q15,'Desl. Base Florianópolis'!$C$5:$Q$19,13,FALSE())*'Desl. Base Florianópolis'!$E$24+'Desl. Base Florianópolis'!$E$25*N15/12</f>
        <v>27.432375</v>
      </c>
      <c r="Z15" s="26" t="n">
        <f aca="false">(H15/$AC$5)*'Equipe Técnica'!$C$13</f>
        <v>208.40682984424</v>
      </c>
      <c r="AA15" s="26" t="n">
        <f aca="false">(I15/$AC$5)*'Equipe Técnica'!$C$13</f>
        <v>250.088195813088</v>
      </c>
      <c r="AB15" s="26" t="n">
        <f aca="false">(L15/$AC$5)*'Equipe Técnica'!$C$13</f>
        <v>229.247512828664</v>
      </c>
      <c r="AC15" s="26" t="n">
        <f aca="false">(M15/$AC$5)*'Equipe Técnica'!$C$13</f>
        <v>229.247512828664</v>
      </c>
      <c r="AD15" s="26" t="n">
        <f aca="false">R15+(($V15+$W15+$X15+$Y15)*12/19)+$Z15</f>
        <v>306.693325458275</v>
      </c>
      <c r="AE15" s="26" t="n">
        <f aca="false">S15+(($V15+$W15+$X15+$Y15)*12/19)+$AA15</f>
        <v>363.290691427123</v>
      </c>
      <c r="AF15" s="26" t="n">
        <f aca="false">T15+(($V15+$W15+$X15+$Y15)*12/19)+$AB15</f>
        <v>334.992008442699</v>
      </c>
      <c r="AG15" s="26" t="n">
        <f aca="false">U15+(($V15+$W15+$X15+$Y15)*12/19)+$AC15</f>
        <v>334.992008442699</v>
      </c>
      <c r="AI15" s="24" t="str">
        <f aca="false">B15</f>
        <v>APS SÃO JOSÉ</v>
      </c>
      <c r="AJ15" s="70" t="n">
        <f aca="false">VLOOKUP(AI15,Unidades!D$5:H$32,5,)</f>
        <v>0.2907</v>
      </c>
      <c r="AK15" s="50" t="n">
        <f aca="false">AD15*(1+$AJ15)</f>
        <v>395.849075168995</v>
      </c>
      <c r="AL15" s="50" t="n">
        <f aca="false">AE15*(1+$AJ15)</f>
        <v>468.899295424987</v>
      </c>
      <c r="AM15" s="50" t="n">
        <f aca="false">AF15*(1+$AJ15)</f>
        <v>432.374185296991</v>
      </c>
      <c r="AN15" s="50" t="n">
        <f aca="false">AG15*(1+$AJ15)</f>
        <v>432.374185296991</v>
      </c>
      <c r="AO15" s="50" t="n">
        <f aca="false">((AK15*12)+(AL15*4)+(AM15*2)+AN15)/12</f>
        <v>660.242386634905</v>
      </c>
      <c r="AP15" s="50" t="n">
        <f aca="false">AO15*3</f>
        <v>1980.72715990472</v>
      </c>
      <c r="AQ15" s="50" t="n">
        <f aca="false">AO15+AP15</f>
        <v>2640.96954653962</v>
      </c>
      <c r="AR15" s="71"/>
      <c r="AS15" s="74" t="s">
        <v>95</v>
      </c>
      <c r="AT15" s="50" t="n">
        <f aca="false">AT11+AT13</f>
        <v>813798.044284877</v>
      </c>
      <c r="AU15" s="50"/>
      <c r="AV15" s="71"/>
      <c r="AW15" s="71"/>
    </row>
    <row r="16" s="2" customFormat="true" ht="15" hidden="false" customHeight="true" outlineLevel="0" collapsed="false">
      <c r="B16" s="24" t="s">
        <v>96</v>
      </c>
      <c r="C16" s="66" t="n">
        <f aca="false">VLOOKUP($B16,Unidades!$D$5:$N$32,6,FALSE())</f>
        <v>347.21</v>
      </c>
      <c r="D16" s="66" t="n">
        <f aca="false">VLOOKUP($B16,Unidades!$D$5:$N$32,7,FALSE())</f>
        <v>313.21</v>
      </c>
      <c r="E16" s="66" t="n">
        <f aca="false">VLOOKUP($B16,Unidades!$D$5:$N$32,8,FALSE())</f>
        <v>34</v>
      </c>
      <c r="F16" s="66" t="n">
        <f aca="false">VLOOKUP($B16,Unidades!$D$5:$N$32,9,FALSE())</f>
        <v>0</v>
      </c>
      <c r="G16" s="66" t="n">
        <f aca="false">D16+E16*$E$6+F16*$F$6</f>
        <v>325.11</v>
      </c>
      <c r="H16" s="67" t="n">
        <f aca="false">IF(G16&lt;750,1.5,IF(G16&lt;2000,2,3))</f>
        <v>1.5</v>
      </c>
      <c r="I16" s="67" t="n">
        <f aca="false">$I$6*H16</f>
        <v>1.8</v>
      </c>
      <c r="J16" s="67" t="str">
        <f aca="false">VLOOKUP($B16,Unidades!$D$7:$N$32,10,FALSE())</f>
        <v>NÃO</v>
      </c>
      <c r="K16" s="67" t="str">
        <f aca="false">VLOOKUP($B16,Unidades!$D$7:$N$32,11,FALSE())</f>
        <v>NÃO</v>
      </c>
      <c r="L16" s="67" t="n">
        <f aca="false">$L$6*H16+(IF(J16="SIM",$J$6,0))</f>
        <v>1.65</v>
      </c>
      <c r="M16" s="67" t="n">
        <f aca="false">$M$6*H16+(IF(J16="SIM",$J$6,0))+(IF(K16="SIM",$K$6,0))</f>
        <v>1.65</v>
      </c>
      <c r="N16" s="67" t="n">
        <f aca="false">H16*12+I16*4+L16*2+M16</f>
        <v>30.15</v>
      </c>
      <c r="O16" s="68" t="n">
        <f aca="false">IF(K16="não", N16*(C$25+D$25),N16*(C$25+D$25)+(M16*+E$25))</f>
        <v>1499.058</v>
      </c>
      <c r="P16" s="69"/>
      <c r="Q16" s="24" t="str">
        <f aca="false">B16</f>
        <v>APS TIJUCAS</v>
      </c>
      <c r="R16" s="26" t="n">
        <f aca="false">H16*($C$25+$D$25)</f>
        <v>74.58</v>
      </c>
      <c r="S16" s="26" t="n">
        <f aca="false">I16*($C$25+$D$25)</f>
        <v>89.496</v>
      </c>
      <c r="T16" s="26" t="n">
        <f aca="false">L16*($C$25+$D$25)</f>
        <v>82.038</v>
      </c>
      <c r="U16" s="26" t="n">
        <f aca="false">IF(K16="não",M16*($C$25+$D$25),M16*(C$25+D$25+E$25))</f>
        <v>82.038</v>
      </c>
      <c r="V16" s="26" t="n">
        <f aca="false">VLOOKUP(Q16,'Desl. Base Florianópolis'!$C$5:$S$19,13,FALSE())*($C$25+$D$25+$E$25*(VLOOKUP(Q16,'Desl. Base Florianópolis'!$C$5:$S$19,17,FALSE())/12))</f>
        <v>47.234</v>
      </c>
      <c r="W16" s="26" t="n">
        <f aca="false">VLOOKUP(Q16,'Desl. Base Florianópolis'!$C$5:$S$19,15,FALSE())*(2+(VLOOKUP(Q16,'Desl. Base Florianópolis'!$C$5:$S$19,17,FALSE())/12))</f>
        <v>0</v>
      </c>
      <c r="X16" s="26" t="n">
        <f aca="false">VLOOKUP(Q16,'Desl. Base Florianópolis'!$C$5:$Q$19,14,FALSE())</f>
        <v>4.9</v>
      </c>
      <c r="Y16" s="26" t="n">
        <f aca="false">VLOOKUP(Q16,'Desl. Base Florianópolis'!$C$5:$Q$19,13,FALSE())*'Desl. Base Florianópolis'!$E$24+'Desl. Base Florianópolis'!$E$25*N16/12</f>
        <v>66.880875</v>
      </c>
      <c r="Z16" s="26" t="n">
        <f aca="false">(H16/$AC$5)*'Equipe Técnica'!$C$13</f>
        <v>208.40682984424</v>
      </c>
      <c r="AA16" s="26" t="n">
        <f aca="false">(I16/$AC$5)*'Equipe Técnica'!$C$13</f>
        <v>250.088195813088</v>
      </c>
      <c r="AB16" s="26" t="n">
        <f aca="false">(L16/$AC$5)*'Equipe Técnica'!$C$13</f>
        <v>229.247512828664</v>
      </c>
      <c r="AC16" s="26" t="n">
        <f aca="false">(M16/$AC$5)*'Equipe Técnica'!$C$13</f>
        <v>229.247512828664</v>
      </c>
      <c r="AD16" s="26" t="n">
        <f aca="false">R16+(($V16+$W16+$X16+$Y16)*12/19)+$Z16</f>
        <v>358.154119317924</v>
      </c>
      <c r="AE16" s="26" t="n">
        <f aca="false">S16+(($V16+$W16+$X16+$Y16)*12/19)+$AA16</f>
        <v>414.751485286772</v>
      </c>
      <c r="AF16" s="26" t="n">
        <f aca="false">T16+(($V16+$W16+$X16+$Y16)*12/19)+$AB16</f>
        <v>386.452802302348</v>
      </c>
      <c r="AG16" s="26" t="n">
        <f aca="false">U16+(($V16+$W16+$X16+$Y16)*12/19)+$AC16</f>
        <v>386.452802302348</v>
      </c>
      <c r="AI16" s="24" t="str">
        <f aca="false">B16</f>
        <v>APS TIJUCAS</v>
      </c>
      <c r="AJ16" s="70" t="n">
        <f aca="false">VLOOKUP(AI16,Unidades!D$5:H$32,5,)</f>
        <v>0.2835</v>
      </c>
      <c r="AK16" s="50" t="n">
        <f aca="false">AD16*(1+$AJ16)</f>
        <v>459.690812144555</v>
      </c>
      <c r="AL16" s="50" t="n">
        <f aca="false">AE16*(1+$AJ16)</f>
        <v>532.333531365572</v>
      </c>
      <c r="AM16" s="50" t="n">
        <f aca="false">AF16*(1+$AJ16)</f>
        <v>496.012171755063</v>
      </c>
      <c r="AN16" s="50" t="n">
        <f aca="false">AG16*(1+$AJ16)</f>
        <v>496.012171755063</v>
      </c>
      <c r="AO16" s="50" t="n">
        <f aca="false">((AK16*12)+(AL16*4)+(AM16*2)+AN16)/12</f>
        <v>761.138365538512</v>
      </c>
      <c r="AP16" s="50" t="n">
        <f aca="false">AO16*3</f>
        <v>2283.41509661554</v>
      </c>
      <c r="AQ16" s="50" t="n">
        <f aca="false">AO16+AP16</f>
        <v>3044.55346215405</v>
      </c>
      <c r="AR16" s="71"/>
      <c r="AS16" s="71"/>
      <c r="AT16" s="71"/>
      <c r="AU16" s="71"/>
      <c r="AV16" s="71"/>
      <c r="AW16" s="71"/>
    </row>
    <row r="17" s="2" customFormat="true" ht="15" hidden="false" customHeight="true" outlineLevel="0" collapsed="false">
      <c r="B17" s="24" t="s">
        <v>97</v>
      </c>
      <c r="C17" s="66" t="n">
        <f aca="false">VLOOKUP($B17,Unidades!$D$5:$N$32,6,FALSE())</f>
        <v>264.93</v>
      </c>
      <c r="D17" s="66" t="n">
        <f aca="false">VLOOKUP($B17,Unidades!$D$5:$N$32,7,FALSE())</f>
        <v>70.93</v>
      </c>
      <c r="E17" s="66" t="n">
        <f aca="false">VLOOKUP($B17,Unidades!$D$5:$N$32,8,FALSE())</f>
        <v>194</v>
      </c>
      <c r="F17" s="66" t="n">
        <f aca="false">VLOOKUP($B17,Unidades!$D$5:$N$32,9,FALSE())</f>
        <v>0</v>
      </c>
      <c r="G17" s="66" t="n">
        <f aca="false">D17+E17*$E$6+F17*$F$6</f>
        <v>138.83</v>
      </c>
      <c r="H17" s="67" t="n">
        <f aca="false">IF(G17&lt;750,1.5,IF(G17&lt;2000,2,3))</f>
        <v>1.5</v>
      </c>
      <c r="I17" s="67" t="n">
        <f aca="false">$I$6*H17</f>
        <v>1.8</v>
      </c>
      <c r="J17" s="67" t="str">
        <f aca="false">VLOOKUP($B17,Unidades!$D$7:$N$32,10,FALSE())</f>
        <v>NÃO</v>
      </c>
      <c r="K17" s="67" t="str">
        <f aca="false">VLOOKUP($B17,Unidades!$D$7:$N$32,11,FALSE())</f>
        <v>NÃO</v>
      </c>
      <c r="L17" s="67" t="n">
        <f aca="false">$L$6*H17+(IF(J17="SIM",$J$6,0))</f>
        <v>1.65</v>
      </c>
      <c r="M17" s="67" t="n">
        <f aca="false">$M$6*H17+(IF(J17="SIM",$J$6,0))+(IF(K17="SIM",$K$6,0))</f>
        <v>1.65</v>
      </c>
      <c r="N17" s="67" t="n">
        <f aca="false">H17*12+I17*4+L17*2+M17</f>
        <v>30.15</v>
      </c>
      <c r="O17" s="68" t="n">
        <f aca="false">IF(K17="não", N17*(C$25+D$25),N17*(C$25+D$25)+(M17*+E$25))</f>
        <v>1499.058</v>
      </c>
      <c r="P17" s="69"/>
      <c r="Q17" s="24" t="str">
        <f aca="false">B17</f>
        <v>CEDOC PALHOÇA</v>
      </c>
      <c r="R17" s="26" t="n">
        <f aca="false">H17*($C$25+$D$25)</f>
        <v>74.58</v>
      </c>
      <c r="S17" s="26" t="n">
        <f aca="false">I17*($C$25+$D$25)</f>
        <v>89.496</v>
      </c>
      <c r="T17" s="26" t="n">
        <f aca="false">L17*($C$25+$D$25)</f>
        <v>82.038</v>
      </c>
      <c r="U17" s="26" t="n">
        <f aca="false">IF(K17="não",M17*($C$25+$D$25),M17*(C$25+D$25+E$25))</f>
        <v>82.038</v>
      </c>
      <c r="V17" s="26" t="n">
        <f aca="false">VLOOKUP(Q17,'Desl. Base Florianópolis'!$C$5:$S$19,13,FALSE())*($C$25+$D$25+$E$25*(VLOOKUP(Q17,'Desl. Base Florianópolis'!$C$5:$S$19,17,FALSE())/12))</f>
        <v>15.7446666666667</v>
      </c>
      <c r="W17" s="26" t="n">
        <f aca="false">VLOOKUP(Q17,'Desl. Base Florianópolis'!$C$5:$S$19,15,FALSE())*(2+(VLOOKUP(Q17,'Desl. Base Florianópolis'!$C$5:$S$19,17,FALSE())/12))</f>
        <v>0</v>
      </c>
      <c r="X17" s="26" t="n">
        <f aca="false">VLOOKUP(Q17,'Desl. Base Florianópolis'!$C$5:$Q$19,14,FALSE())</f>
        <v>0</v>
      </c>
      <c r="Y17" s="26" t="n">
        <f aca="false">VLOOKUP(Q17,'Desl. Base Florianópolis'!$C$5:$Q$19,13,FALSE())*'Desl. Base Florianópolis'!$E$24+'Desl. Base Florianópolis'!$E$25*N17/12</f>
        <v>33.934875</v>
      </c>
      <c r="Z17" s="26" t="n">
        <f aca="false">(H17/$AC$5)*'Equipe Técnica'!$C$13</f>
        <v>208.40682984424</v>
      </c>
      <c r="AA17" s="26" t="n">
        <f aca="false">(I17/$AC$5)*'Equipe Técnica'!$C$13</f>
        <v>250.088195813088</v>
      </c>
      <c r="AB17" s="26" t="n">
        <f aca="false">(L17/$AC$5)*'Equipe Técnica'!$C$13</f>
        <v>229.247512828664</v>
      </c>
      <c r="AC17" s="26" t="n">
        <f aca="false">(M17/$AC$5)*'Equipe Técnica'!$C$13</f>
        <v>229.247512828664</v>
      </c>
      <c r="AD17" s="26" t="n">
        <f aca="false">R17+(($V17+$W17+$X17+$Y17)*12/19)+$Z17</f>
        <v>314.363382475819</v>
      </c>
      <c r="AE17" s="26" t="n">
        <f aca="false">S17+(($V17+$W17+$X17+$Y17)*12/19)+$AA17</f>
        <v>370.960748444667</v>
      </c>
      <c r="AF17" s="26" t="n">
        <f aca="false">T17+(($V17+$W17+$X17+$Y17)*12/19)+$AB17</f>
        <v>342.662065460243</v>
      </c>
      <c r="AG17" s="26" t="n">
        <f aca="false">U17+(($V17+$W17+$X17+$Y17)*12/19)+$AC17</f>
        <v>342.662065460243</v>
      </c>
      <c r="AI17" s="24" t="str">
        <f aca="false">B17</f>
        <v>CEDOC PALHOÇA</v>
      </c>
      <c r="AJ17" s="70" t="n">
        <f aca="false">VLOOKUP(AI17,Unidades!D$5:H$32,5,)</f>
        <v>0.2835</v>
      </c>
      <c r="AK17" s="50" t="n">
        <f aca="false">AD17*(1+$AJ17)</f>
        <v>403.485401407713</v>
      </c>
      <c r="AL17" s="50" t="n">
        <f aca="false">AE17*(1+$AJ17)</f>
        <v>476.128120628729</v>
      </c>
      <c r="AM17" s="50" t="n">
        <f aca="false">AF17*(1+$AJ17)</f>
        <v>439.806761018221</v>
      </c>
      <c r="AN17" s="50" t="n">
        <f aca="false">AG17*(1+$AJ17)</f>
        <v>439.806761018221</v>
      </c>
      <c r="AO17" s="50" t="n">
        <f aca="false">((AK17*12)+(AL17*4)+(AM17*2)+AN17)/12</f>
        <v>672.146465205178</v>
      </c>
      <c r="AP17" s="50" t="n">
        <f aca="false">AO17*3</f>
        <v>2016.43939561554</v>
      </c>
      <c r="AQ17" s="50" t="n">
        <f aca="false">AO17+AP17</f>
        <v>2688.58586082071</v>
      </c>
      <c r="AR17" s="71"/>
      <c r="AS17" s="71"/>
      <c r="AT17" s="71"/>
      <c r="AU17" s="71"/>
      <c r="AV17" s="71"/>
      <c r="AW17" s="71"/>
    </row>
    <row r="18" s="2" customFormat="true" ht="15" hidden="false" customHeight="true" outlineLevel="0" collapsed="false">
      <c r="B18" s="24" t="s">
        <v>98</v>
      </c>
      <c r="C18" s="66" t="n">
        <f aca="false">VLOOKUP($B18,Unidades!$D$5:$N$32,6,FALSE())</f>
        <v>4300.85</v>
      </c>
      <c r="D18" s="66" t="n">
        <f aca="false">VLOOKUP($B18,Unidades!$D$5:$N$32,7,FALSE())</f>
        <v>150</v>
      </c>
      <c r="E18" s="66" t="n">
        <f aca="false">VLOOKUP($B18,Unidades!$D$5:$N$32,8,FALSE())</f>
        <v>1946.91</v>
      </c>
      <c r="F18" s="66" t="n">
        <f aca="false">VLOOKUP($B18,Unidades!$D$5:$N$32,9,FALSE())</f>
        <v>2203.94</v>
      </c>
      <c r="G18" s="66" t="n">
        <f aca="false">D18+E18*$E$6+F18*$F$6</f>
        <v>1051.8125</v>
      </c>
      <c r="H18" s="67" t="n">
        <f aca="false">IF(G18&lt;750,1.5,IF(G18&lt;2000,2,3))</f>
        <v>2</v>
      </c>
      <c r="I18" s="67" t="n">
        <f aca="false">$I$6*H18</f>
        <v>2.4</v>
      </c>
      <c r="J18" s="67" t="str">
        <f aca="false">VLOOKUP($B18,Unidades!$D$7:$N$32,10,FALSE())</f>
        <v>NÃO</v>
      </c>
      <c r="K18" s="67" t="str">
        <f aca="false">VLOOKUP($B18,Unidades!$D$7:$N$32,11,FALSE())</f>
        <v>SIM</v>
      </c>
      <c r="L18" s="67" t="n">
        <f aca="false">$L$6*H18+(IF(J18="SIM",$J$6,0))</f>
        <v>2.2</v>
      </c>
      <c r="M18" s="67" t="n">
        <f aca="false">$M$6*H18+(IF(J18="SIM",$J$6,0))+(IF(K18="SIM",$K$6,0))</f>
        <v>6.2</v>
      </c>
      <c r="N18" s="67" t="n">
        <f aca="false">H18*12+I18*4+L18*2+M18</f>
        <v>44.2</v>
      </c>
      <c r="O18" s="68" t="n">
        <f aca="false">IF(K18="não", N18*(C$25+D$25),N18*(C$25+D$25)+(M18*+E$25))</f>
        <v>2420.142</v>
      </c>
      <c r="P18" s="69"/>
      <c r="Q18" s="24" t="str">
        <f aca="false">B18</f>
        <v>GALPÕES AV. MAURO RAMOS</v>
      </c>
      <c r="R18" s="26" t="n">
        <f aca="false">H18*($C$25+$D$25)</f>
        <v>99.44</v>
      </c>
      <c r="S18" s="26" t="n">
        <f aca="false">I18*($C$25+$D$25)</f>
        <v>119.328</v>
      </c>
      <c r="T18" s="26" t="n">
        <f aca="false">L18*($C$25+$D$25)</f>
        <v>109.384</v>
      </c>
      <c r="U18" s="26" t="n">
        <f aca="false">IF(K18="não",M18*($C$25+$D$25),M18*(C$25+D$25+E$25))</f>
        <v>530.782</v>
      </c>
      <c r="V18" s="26" t="n">
        <f aca="false">VLOOKUP(Q18,'Desl. Base Florianópolis'!$C$5:$S$19,13,FALSE())*($C$25+$D$25+$E$25*(VLOOKUP(Q18,'Desl. Base Florianópolis'!$C$5:$S$19,17,FALSE())/12))</f>
        <v>7.46736805555556</v>
      </c>
      <c r="W18" s="26" t="n">
        <f aca="false">VLOOKUP(Q18,'Desl. Base Florianópolis'!$C$5:$S$19,15,FALSE())*(2+(VLOOKUP(Q18,'Desl. Base Florianópolis'!$C$5:$S$19,17,FALSE())/12))</f>
        <v>0</v>
      </c>
      <c r="X18" s="26" t="n">
        <f aca="false">VLOOKUP(Q18,'Desl. Base Florianópolis'!$C$5:$Q$19,14,FALSE())</f>
        <v>0</v>
      </c>
      <c r="Y18" s="26" t="n">
        <f aca="false">VLOOKUP(Q18,'Desl. Base Florianópolis'!$C$5:$Q$19,13,FALSE())*'Desl. Base Florianópolis'!$E$24+'Desl. Base Florianópolis'!$E$25*N18/12</f>
        <v>32.9686666666667</v>
      </c>
      <c r="Z18" s="26" t="n">
        <f aca="false">(H18/$AC$5)*'Equipe Técnica'!$C$13</f>
        <v>277.875773125653</v>
      </c>
      <c r="AA18" s="26" t="n">
        <f aca="false">(I18/$AC$5)*'Equipe Técnica'!$C$13</f>
        <v>333.450927750783</v>
      </c>
      <c r="AB18" s="26" t="n">
        <f aca="false">(L18/$AC$5)*'Equipe Técnica'!$C$13</f>
        <v>305.663350438218</v>
      </c>
      <c r="AC18" s="26" t="n">
        <f aca="false">(M18/$AC$5)*'Equipe Técnica'!$C$13</f>
        <v>861.414896689524</v>
      </c>
      <c r="AD18" s="26" t="n">
        <f aca="false">R18+(($V18+$W18+$X18+$Y18)*12/19)+$Z18</f>
        <v>402.854321371267</v>
      </c>
      <c r="AE18" s="26" t="n">
        <f aca="false">S18+(($V18+$W18+$X18+$Y18)*12/19)+$AA18</f>
        <v>478.317475996397</v>
      </c>
      <c r="AF18" s="26" t="n">
        <f aca="false">T18+(($V18+$W18+$X18+$Y18)*12/19)+$AB18</f>
        <v>440.585898683832</v>
      </c>
      <c r="AG18" s="26" t="n">
        <f aca="false">U18+(($V18+$W18+$X18+$Y18)*12/19)+$AC18</f>
        <v>1417.73544493514</v>
      </c>
      <c r="AI18" s="24" t="str">
        <f aca="false">B18</f>
        <v>GALPÕES AV. MAURO RAMOS</v>
      </c>
      <c r="AJ18" s="70" t="n">
        <f aca="false">VLOOKUP(AI18,Unidades!D$5:H$32,5,)</f>
        <v>0.2979</v>
      </c>
      <c r="AK18" s="50" t="n">
        <f aca="false">AD18*(1+$AJ18)</f>
        <v>522.864623707767</v>
      </c>
      <c r="AL18" s="50" t="n">
        <f aca="false">AE18*(1+$AJ18)</f>
        <v>620.808252095724</v>
      </c>
      <c r="AM18" s="50" t="n">
        <f aca="false">AF18*(1+$AJ18)</f>
        <v>571.836437901746</v>
      </c>
      <c r="AN18" s="50" t="n">
        <f aca="false">AG18*(1+$AJ18)</f>
        <v>1840.07883398132</v>
      </c>
      <c r="AO18" s="50" t="n">
        <f aca="false">((AK18*12)+(AL18*4)+(AM18*2)+AN18)/12</f>
        <v>978.446683555076</v>
      </c>
      <c r="AP18" s="50" t="n">
        <f aca="false">AO18*3</f>
        <v>2935.34005066523</v>
      </c>
      <c r="AQ18" s="50" t="n">
        <f aca="false">AO18+AP18</f>
        <v>3913.7867342203</v>
      </c>
      <c r="AR18" s="71"/>
      <c r="AS18" s="71"/>
      <c r="AT18" s="71"/>
      <c r="AU18" s="71"/>
      <c r="AV18" s="71"/>
      <c r="AW18" s="71"/>
    </row>
    <row r="19" s="2" customFormat="true" ht="15" hidden="false" customHeight="true" outlineLevel="0" collapsed="false">
      <c r="B19" s="24" t="s">
        <v>99</v>
      </c>
      <c r="C19" s="66" t="n">
        <f aca="false">VLOOKUP($B19,Unidades!$D$5:$N$32,6,FALSE())</f>
        <v>3428.79</v>
      </c>
      <c r="D19" s="66" t="n">
        <f aca="false">VLOOKUP($B19,Unidades!$D$5:$N$32,7,FALSE())</f>
        <v>2957.89</v>
      </c>
      <c r="E19" s="66" t="n">
        <f aca="false">VLOOKUP($B19,Unidades!$D$5:$N$32,8,FALSE())</f>
        <v>470.9</v>
      </c>
      <c r="F19" s="66" t="n">
        <f aca="false">VLOOKUP($B19,Unidades!$D$5:$N$32,9,FALSE())</f>
        <v>0</v>
      </c>
      <c r="G19" s="66" t="n">
        <f aca="false">D19+E19*$E$6+F19*$F$6</f>
        <v>3122.705</v>
      </c>
      <c r="H19" s="67" t="n">
        <f aca="false">IF(G19&lt;750,1.5,IF(G19&lt;2000,2,3))</f>
        <v>3</v>
      </c>
      <c r="I19" s="67" t="n">
        <f aca="false">$I$6*H19</f>
        <v>3.6</v>
      </c>
      <c r="J19" s="67" t="str">
        <f aca="false">VLOOKUP($B19,Unidades!$D$7:$N$32,10,FALSE())</f>
        <v>SIM</v>
      </c>
      <c r="K19" s="67" t="str">
        <f aca="false">VLOOKUP($B19,Unidades!$D$7:$N$32,11,FALSE())</f>
        <v>SIM</v>
      </c>
      <c r="L19" s="67" t="n">
        <f aca="false">$L$6*H19+(IF(J19="SIM",$J$6,0))</f>
        <v>5.3</v>
      </c>
      <c r="M19" s="67" t="n">
        <f aca="false">$M$6*H19+(IF(J19="SIM",$J$6,0))+(IF(K19="SIM",$K$6,0))</f>
        <v>9.3</v>
      </c>
      <c r="N19" s="67" t="n">
        <f aca="false">H19*12+I19*4+L19*2+M19</f>
        <v>70.3</v>
      </c>
      <c r="O19" s="68" t="n">
        <f aca="false">IF(K19="não", N19*(C$25+D$25),N19*(C$25+D$25)+(M19*+E$25))</f>
        <v>3829.093</v>
      </c>
      <c r="P19" s="69"/>
      <c r="Q19" s="24" t="str">
        <f aca="false">B19</f>
        <v>GEX/APS FLORIANÓPOLIS</v>
      </c>
      <c r="R19" s="26" t="n">
        <f aca="false">H19*($C$25+$D$25)</f>
        <v>149.16</v>
      </c>
      <c r="S19" s="26" t="n">
        <f aca="false">I19*($C$25+$D$25)</f>
        <v>178.992</v>
      </c>
      <c r="T19" s="26" t="n">
        <f aca="false">L19*($C$25+$D$25)</f>
        <v>263.516</v>
      </c>
      <c r="U19" s="26" t="n">
        <f aca="false">IF(K19="não",M19*($C$25+$D$25),M19*(C$25+D$25+E$25))</f>
        <v>796.173</v>
      </c>
      <c r="V19" s="26" t="n">
        <f aca="false">VLOOKUP(Q19,'Desl. Base Florianópolis'!$C$5:$S$19,13,FALSE())*($C$25+$D$25+$E$25*(VLOOKUP(Q19,'Desl. Base Florianópolis'!$C$5:$S$19,17,FALSE())/12))</f>
        <v>3.9533125</v>
      </c>
      <c r="W19" s="26" t="n">
        <f aca="false">VLOOKUP(Q19,'Desl. Base Florianópolis'!$C$5:$S$19,15,FALSE())*(2+(VLOOKUP(Q19,'Desl. Base Florianópolis'!$C$5:$S$19,17,FALSE())/12))</f>
        <v>0</v>
      </c>
      <c r="X19" s="26" t="n">
        <f aca="false">VLOOKUP(Q19,'Desl. Base Florianópolis'!$C$5:$Q$19,14,FALSE())</f>
        <v>0</v>
      </c>
      <c r="Y19" s="26" t="n">
        <f aca="false">VLOOKUP(Q19,'Desl. Base Florianópolis'!$C$5:$Q$19,13,FALSE())*'Desl. Base Florianópolis'!$E$24+'Desl. Base Florianópolis'!$E$25*N19/12</f>
        <v>44.6169166666667</v>
      </c>
      <c r="Z19" s="26" t="n">
        <f aca="false">(H19/$AC$5)*'Equipe Técnica'!$C$13</f>
        <v>416.813659688479</v>
      </c>
      <c r="AA19" s="26" t="n">
        <f aca="false">(I19/$AC$5)*'Equipe Técnica'!$C$13</f>
        <v>500.176391626175</v>
      </c>
      <c r="AB19" s="26" t="n">
        <f aca="false">(L19/$AC$5)*'Equipe Técnica'!$C$13</f>
        <v>736.37079878298</v>
      </c>
      <c r="AC19" s="26" t="n">
        <f aca="false">(M19/$AC$5)*'Equipe Técnica'!$C$13</f>
        <v>1292.12234503429</v>
      </c>
      <c r="AD19" s="26" t="n">
        <f aca="false">R19+(($V19+$W19+$X19+$Y19)*12/19)+$Z19</f>
        <v>596.649593899006</v>
      </c>
      <c r="AE19" s="26" t="n">
        <f aca="false">S19+(($V19+$W19+$X19+$Y19)*12/19)+$AA19</f>
        <v>709.844325836701</v>
      </c>
      <c r="AF19" s="26" t="n">
        <f aca="false">T19+(($V19+$W19+$X19+$Y19)*12/19)+$AB19</f>
        <v>1030.56273299351</v>
      </c>
      <c r="AG19" s="26" t="n">
        <f aca="false">U19+(($V19+$W19+$X19+$Y19)*12/19)+$AC19</f>
        <v>2118.97127924481</v>
      </c>
      <c r="AI19" s="24" t="str">
        <f aca="false">B19</f>
        <v>GEX/APS FLORIANÓPOLIS</v>
      </c>
      <c r="AJ19" s="70" t="n">
        <f aca="false">VLOOKUP(AI19,Unidades!D$5:H$32,5,)</f>
        <v>0.2979</v>
      </c>
      <c r="AK19" s="50" t="n">
        <f aca="false">AD19*(1+$AJ19)</f>
        <v>774.391507921519</v>
      </c>
      <c r="AL19" s="50" t="n">
        <f aca="false">AE19*(1+$AJ19)</f>
        <v>921.306950503455</v>
      </c>
      <c r="AM19" s="50" t="n">
        <f aca="false">AF19*(1+$AJ19)</f>
        <v>1337.56737115227</v>
      </c>
      <c r="AN19" s="50" t="n">
        <f aca="false">AG19*(1+$AJ19)</f>
        <v>2750.21282333184</v>
      </c>
      <c r="AO19" s="50" t="n">
        <f aca="false">((AK19*12)+(AL19*4)+(AM19*2)+AN19)/12</f>
        <v>1533.60612189237</v>
      </c>
      <c r="AP19" s="50" t="n">
        <f aca="false">AO19*3</f>
        <v>4600.81836567711</v>
      </c>
      <c r="AQ19" s="50" t="n">
        <f aca="false">AO19+AP19</f>
        <v>6134.42448756948</v>
      </c>
      <c r="AR19" s="71"/>
      <c r="AS19" s="71"/>
      <c r="AT19" s="71"/>
      <c r="AU19" s="71"/>
      <c r="AV19" s="71"/>
      <c r="AW19" s="71"/>
    </row>
    <row r="20" s="2" customFormat="true" ht="15" hidden="false" customHeight="true" outlineLevel="0" collapsed="false">
      <c r="B20" s="24" t="s">
        <v>100</v>
      </c>
      <c r="C20" s="66" t="n">
        <f aca="false">VLOOKUP($B20,Unidades!$D$5:$N$32,6,FALSE())</f>
        <v>232.69</v>
      </c>
      <c r="D20" s="66" t="n">
        <f aca="false">VLOOKUP($B20,Unidades!$D$5:$N$32,7,FALSE())</f>
        <v>201.69</v>
      </c>
      <c r="E20" s="66" t="n">
        <f aca="false">VLOOKUP($B20,Unidades!$D$5:$N$32,8,FALSE())</f>
        <v>31</v>
      </c>
      <c r="F20" s="66" t="n">
        <f aca="false">VLOOKUP($B20,Unidades!$D$5:$N$32,9,FALSE())</f>
        <v>0</v>
      </c>
      <c r="G20" s="66" t="n">
        <f aca="false">D20+E20*$E$6+F20*$F$6</f>
        <v>212.54</v>
      </c>
      <c r="H20" s="67" t="n">
        <f aca="false">IF(G20&lt;750,1.5,IF(G20&lt;2000,2,3))</f>
        <v>1.5</v>
      </c>
      <c r="I20" s="67" t="n">
        <f aca="false">$I$6*H20</f>
        <v>1.8</v>
      </c>
      <c r="J20" s="67" t="str">
        <f aca="false">VLOOKUP($B20,Unidades!$D$7:$N$32,10,FALSE())</f>
        <v>NÃO</v>
      </c>
      <c r="K20" s="67" t="str">
        <f aca="false">VLOOKUP($B20,Unidades!$D$7:$N$32,11,FALSE())</f>
        <v>NÃO</v>
      </c>
      <c r="L20" s="67" t="n">
        <f aca="false">$L$6*H20+(IF(J20="SIM",$J$6,0))</f>
        <v>1.65</v>
      </c>
      <c r="M20" s="67" t="n">
        <f aca="false">$M$6*H20+(IF(J20="SIM",$J$6,0))+(IF(K20="SIM",$K$6,0))</f>
        <v>1.65</v>
      </c>
      <c r="N20" s="67" t="n">
        <f aca="false">H20*12+I20*4+L20*2+M20</f>
        <v>30.15</v>
      </c>
      <c r="O20" s="68" t="n">
        <f aca="false">IF(K20="não", N20*(C$25+D$25),N20*(C$25+D$25)+(M20*+E$25))</f>
        <v>1499.058</v>
      </c>
      <c r="P20" s="69"/>
      <c r="Q20" s="24" t="str">
        <f aca="false">B20</f>
        <v>SALAS EMEDAUX</v>
      </c>
      <c r="R20" s="26" t="n">
        <f aca="false">H20*($C$25+$D$25)</f>
        <v>74.58</v>
      </c>
      <c r="S20" s="26" t="n">
        <f aca="false">I20*($C$25+$D$25)</f>
        <v>89.496</v>
      </c>
      <c r="T20" s="26" t="n">
        <f aca="false">L20*($C$25+$D$25)</f>
        <v>82.038</v>
      </c>
      <c r="U20" s="26" t="n">
        <f aca="false">IF(K20="não",M20*($C$25+$D$25),M20*(C$25+D$25+E$25))</f>
        <v>82.038</v>
      </c>
      <c r="V20" s="26" t="n">
        <f aca="false">VLOOKUP(Q20,'Desl. Base Florianópolis'!$C$5:$S$19,13,FALSE())*($C$25+$D$25+$E$25*(VLOOKUP(Q20,'Desl. Base Florianópolis'!$C$5:$S$19,17,FALSE())/12))</f>
        <v>7.46736805555556</v>
      </c>
      <c r="W20" s="26" t="n">
        <f aca="false">VLOOKUP(Q20,'Desl. Base Florianópolis'!$C$5:$S$19,15,FALSE())*(2+(VLOOKUP(Q20,'Desl. Base Florianópolis'!$C$5:$S$19,17,FALSE())/12))</f>
        <v>0</v>
      </c>
      <c r="X20" s="26" t="n">
        <f aca="false">VLOOKUP(Q20,'Desl. Base Florianópolis'!$C$5:$Q$19,14,FALSE())</f>
        <v>0</v>
      </c>
      <c r="Y20" s="26" t="n">
        <f aca="false">VLOOKUP(Q20,'Desl. Base Florianópolis'!$C$5:$Q$19,13,FALSE())*'Desl. Base Florianópolis'!$E$24+'Desl. Base Florianópolis'!$E$25*N20/12</f>
        <v>24.831375</v>
      </c>
      <c r="Z20" s="26" t="n">
        <f aca="false">(H20/$AC$5)*'Equipe Técnica'!$C$13</f>
        <v>208.40682984424</v>
      </c>
      <c r="AA20" s="26" t="n">
        <f aca="false">(I20/$AC$5)*'Equipe Técnica'!$C$13</f>
        <v>250.088195813088</v>
      </c>
      <c r="AB20" s="26" t="n">
        <f aca="false">(L20/$AC$5)*'Equipe Técnica'!$C$13</f>
        <v>229.247512828664</v>
      </c>
      <c r="AC20" s="26" t="n">
        <f aca="false">(M20/$AC$5)*'Equipe Técnica'!$C$13</f>
        <v>229.247512828664</v>
      </c>
      <c r="AD20" s="26" t="n">
        <f aca="false">R20+(($V20+$W20+$X20+$Y20)*12/19)+$Z20</f>
        <v>303.386035984591</v>
      </c>
      <c r="AE20" s="26" t="n">
        <f aca="false">S20+(($V20+$W20+$X20+$Y20)*12/19)+$AA20</f>
        <v>359.983401953438</v>
      </c>
      <c r="AF20" s="26" t="n">
        <f aca="false">T20+(($V20+$W20+$X20+$Y20)*12/19)+$AB20</f>
        <v>331.684718969014</v>
      </c>
      <c r="AG20" s="26" t="n">
        <f aca="false">U20+(($V20+$W20+$X20+$Y20)*12/19)+$AC20</f>
        <v>331.684718969014</v>
      </c>
      <c r="AI20" s="24" t="str">
        <f aca="false">B20</f>
        <v>SALAS EMEDAUX</v>
      </c>
      <c r="AJ20" s="70" t="n">
        <f aca="false">VLOOKUP(AI20,Unidades!D$5:H$32,5,)</f>
        <v>0.2979</v>
      </c>
      <c r="AK20" s="50" t="n">
        <f aca="false">AD20*(1+$AJ20)</f>
        <v>393.7647361044</v>
      </c>
      <c r="AL20" s="50" t="n">
        <f aca="false">AE20*(1+$AJ20)</f>
        <v>467.222457395368</v>
      </c>
      <c r="AM20" s="50" t="n">
        <f aca="false">AF20*(1+$AJ20)</f>
        <v>430.493596749884</v>
      </c>
      <c r="AN20" s="50" t="n">
        <f aca="false">AG20*(1+$AJ20)</f>
        <v>430.493596749884</v>
      </c>
      <c r="AO20" s="50" t="n">
        <f aca="false">((AK20*12)+(AL20*4)+(AM20*2)+AN20)/12</f>
        <v>657.12895442366</v>
      </c>
      <c r="AP20" s="50" t="n">
        <f aca="false">AO20*3</f>
        <v>1971.38686327098</v>
      </c>
      <c r="AQ20" s="50" t="n">
        <f aca="false">AO20+AP20</f>
        <v>2628.51581769464</v>
      </c>
      <c r="AR20" s="71"/>
      <c r="AS20" s="71"/>
      <c r="AT20" s="71"/>
      <c r="AU20" s="71"/>
      <c r="AV20" s="71"/>
      <c r="AW20" s="71"/>
    </row>
    <row r="21" s="2" customFormat="true" ht="15" hidden="false" customHeight="true" outlineLevel="0" collapsed="false">
      <c r="B21" s="24" t="s">
        <v>101</v>
      </c>
      <c r="C21" s="66" t="n">
        <f aca="false">VLOOKUP($B21,Unidades!$D$5:$N$32,6,FALSE())</f>
        <v>4818.5</v>
      </c>
      <c r="D21" s="66" t="n">
        <f aca="false">VLOOKUP($B21,Unidades!$D$5:$N$32,7,FALSE())</f>
        <v>4139.1</v>
      </c>
      <c r="E21" s="66" t="n">
        <f aca="false">VLOOKUP($B21,Unidades!$D$5:$N$32,8,FALSE())</f>
        <v>679.4</v>
      </c>
      <c r="F21" s="66" t="n">
        <f aca="false">VLOOKUP($B21,Unidades!$D$5:$N$32,9,FALSE())</f>
        <v>0</v>
      </c>
      <c r="G21" s="66" t="n">
        <f aca="false">D21+E21*$E$6+F21*$F$6</f>
        <v>4376.89</v>
      </c>
      <c r="H21" s="67" t="n">
        <f aca="false">IF(G21&lt;750,1.5,IF(G21&lt;2000,2,3))</f>
        <v>3</v>
      </c>
      <c r="I21" s="67" t="n">
        <f aca="false">$I$6*H21</f>
        <v>3.6</v>
      </c>
      <c r="J21" s="67" t="str">
        <f aca="false">VLOOKUP($B21,Unidades!$D$7:$N$32,10,FALSE())</f>
        <v>SIM</v>
      </c>
      <c r="K21" s="67" t="str">
        <f aca="false">VLOOKUP($B21,Unidades!$D$7:$N$32,11,FALSE())</f>
        <v>SIM</v>
      </c>
      <c r="L21" s="67" t="n">
        <f aca="false">$L$6*H21+(IF(J21="SIM",$J$6,0))</f>
        <v>5.3</v>
      </c>
      <c r="M21" s="67" t="n">
        <f aca="false">$M$6*H21+(IF(J21="SIM",$J$6,0))+(IF(K21="SIM",$K$6,0))</f>
        <v>9.3</v>
      </c>
      <c r="N21" s="67" t="n">
        <f aca="false">H21*12+I21*4+L21*2+M21</f>
        <v>70.3</v>
      </c>
      <c r="O21" s="68" t="n">
        <f aca="false">IF(K21="não", N21*(C$25+D$25),N21*(C$25+D$25)+(M21*+E$25))</f>
        <v>3829.093</v>
      </c>
      <c r="P21" s="69"/>
      <c r="Q21" s="24" t="str">
        <f aca="false">B21</f>
        <v>SEDE DA SUPERINTENDÊNCIA</v>
      </c>
      <c r="R21" s="26" t="n">
        <f aca="false">H21*($C$25+$D$25)</f>
        <v>149.16</v>
      </c>
      <c r="S21" s="26" t="n">
        <f aca="false">I21*($C$25+$D$25)</f>
        <v>178.992</v>
      </c>
      <c r="T21" s="26" t="n">
        <f aca="false">L21*($C$25+$D$25)</f>
        <v>263.516</v>
      </c>
      <c r="U21" s="26" t="n">
        <f aca="false">IF(K21="não",M21*($C$25+$D$25),M21*(C$25+D$25+E$25))</f>
        <v>796.173</v>
      </c>
      <c r="V21" s="26" t="n">
        <f aca="false">VLOOKUP(Q21,'Desl. Base Florianópolis'!$C$5:$S$19,13,FALSE())*($C$25+$D$25+$E$25*(VLOOKUP(Q21,'Desl. Base Florianópolis'!$C$5:$S$19,17,FALSE())/12))</f>
        <v>3.9533125</v>
      </c>
      <c r="W21" s="26" t="n">
        <f aca="false">VLOOKUP(Q21,'Desl. Base Florianópolis'!$C$5:$S$19,15,FALSE())*(2+(VLOOKUP(Q21,'Desl. Base Florianópolis'!$C$5:$S$19,17,FALSE())/12))</f>
        <v>0</v>
      </c>
      <c r="X21" s="26" t="n">
        <f aca="false">VLOOKUP(Q21,'Desl. Base Florianópolis'!$C$5:$Q$19,14,FALSE())</f>
        <v>0</v>
      </c>
      <c r="Y21" s="26" t="n">
        <f aca="false">VLOOKUP(Q21,'Desl. Base Florianópolis'!$C$5:$Q$19,13,FALSE())*'Desl. Base Florianópolis'!$E$24+'Desl. Base Florianópolis'!$E$25*N21/12</f>
        <v>44.6169166666667</v>
      </c>
      <c r="Z21" s="26" t="n">
        <f aca="false">(H21/$AC$5)*'Equipe Técnica'!$C$13</f>
        <v>416.813659688479</v>
      </c>
      <c r="AA21" s="26" t="n">
        <f aca="false">(I21/$AC$5)*'Equipe Técnica'!$C$13</f>
        <v>500.176391626175</v>
      </c>
      <c r="AB21" s="26" t="n">
        <f aca="false">(L21/$AC$5)*'Equipe Técnica'!$C$13</f>
        <v>736.37079878298</v>
      </c>
      <c r="AC21" s="26" t="n">
        <f aca="false">(M21/$AC$5)*'Equipe Técnica'!$C$13</f>
        <v>1292.12234503429</v>
      </c>
      <c r="AD21" s="26" t="n">
        <f aca="false">R21+(($V21+$W21+$X21+$Y21)*12/19)+$Z21</f>
        <v>596.649593899006</v>
      </c>
      <c r="AE21" s="26" t="n">
        <f aca="false">S21+(($V21+$W21+$X21+$Y21)*12/19)+$AA21</f>
        <v>709.844325836701</v>
      </c>
      <c r="AF21" s="26" t="n">
        <f aca="false">T21+(($V21+$W21+$X21+$Y21)*12/19)+$AB21</f>
        <v>1030.56273299351</v>
      </c>
      <c r="AG21" s="26" t="n">
        <f aca="false">U21+(($V21+$W21+$X21+$Y21)*12/19)+$AC21</f>
        <v>2118.97127924481</v>
      </c>
      <c r="AI21" s="24" t="str">
        <f aca="false">B21</f>
        <v>SEDE DA SUPERINTENDÊNCIA</v>
      </c>
      <c r="AJ21" s="70" t="n">
        <f aca="false">VLOOKUP(AI21,Unidades!D$5:H$32,5,)</f>
        <v>0.2979</v>
      </c>
      <c r="AK21" s="50" t="n">
        <f aca="false">AD21*(1+$AJ21)</f>
        <v>774.391507921519</v>
      </c>
      <c r="AL21" s="50" t="n">
        <f aca="false">AE21*(1+$AJ21)</f>
        <v>921.306950503455</v>
      </c>
      <c r="AM21" s="50" t="n">
        <f aca="false">AF21*(1+$AJ21)</f>
        <v>1337.56737115227</v>
      </c>
      <c r="AN21" s="50" t="n">
        <f aca="false">AG21*(1+$AJ21)</f>
        <v>2750.21282333184</v>
      </c>
      <c r="AO21" s="50" t="n">
        <f aca="false">((AK21*12)+(AL21*4)+(AM21*2)+AN21)/12</f>
        <v>1533.60612189237</v>
      </c>
      <c r="AP21" s="50" t="n">
        <f aca="false">AO21*3</f>
        <v>4600.81836567711</v>
      </c>
      <c r="AQ21" s="50" t="n">
        <f aca="false">AO21+AP21</f>
        <v>6134.42448756948</v>
      </c>
      <c r="AR21" s="71"/>
      <c r="AS21" s="71"/>
      <c r="AT21" s="71"/>
      <c r="AU21" s="71"/>
      <c r="AV21" s="71"/>
      <c r="AW21" s="71"/>
    </row>
    <row r="22" s="57" customFormat="true" ht="19.5" hidden="false" customHeight="true" outlineLevel="0" collapsed="false">
      <c r="B22" s="34"/>
      <c r="C22" s="75" t="n">
        <f aca="false">SUM(C7:C21)</f>
        <v>26372.32</v>
      </c>
      <c r="D22" s="75" t="n">
        <f aca="false">SUM(D7:D21)</f>
        <v>13592.5</v>
      </c>
      <c r="E22" s="75" t="n">
        <f aca="false">SUM(E7:E21)</f>
        <v>6162.03</v>
      </c>
      <c r="F22" s="75" t="n">
        <f aca="false">SUM(F7:F21)</f>
        <v>6617.79</v>
      </c>
      <c r="G22" s="75" t="n">
        <f aca="false">SUM(G7:G21)</f>
        <v>16410.9895</v>
      </c>
      <c r="H22" s="76" t="n">
        <f aca="false">SUM(H7:H21)</f>
        <v>28</v>
      </c>
      <c r="I22" s="76" t="n">
        <f aca="false">SUM(I7:I21)</f>
        <v>33.6</v>
      </c>
      <c r="J22" s="76" t="n">
        <f aca="false">COUNTIF(J7:J21,"SIM")</f>
        <v>5</v>
      </c>
      <c r="K22" s="76" t="n">
        <f aca="false">COUNTIF(K7:K21,"SIM")</f>
        <v>7</v>
      </c>
      <c r="L22" s="76" t="n">
        <f aca="false">SUM(L7:L21)</f>
        <v>40.8</v>
      </c>
      <c r="M22" s="76" t="n">
        <f aca="false">SUM(M7:M21)</f>
        <v>68.8</v>
      </c>
      <c r="N22" s="76" t="n">
        <f aca="false">SUM(N7:N21)</f>
        <v>620.8</v>
      </c>
      <c r="O22" s="77" t="n">
        <f aca="false">SUM(O7:O21)</f>
        <v>32861.66</v>
      </c>
      <c r="P22" s="78"/>
      <c r="Q22" s="76" t="s">
        <v>102</v>
      </c>
      <c r="R22" s="79" t="n">
        <f aca="false">SUM(R7:R21)</f>
        <v>1392.16</v>
      </c>
      <c r="S22" s="79" t="n">
        <f aca="false">SUM(S7:S21)</f>
        <v>1670.592</v>
      </c>
      <c r="T22" s="79" t="n">
        <f aca="false">SUM(T7:T21)</f>
        <v>2028.576</v>
      </c>
      <c r="U22" s="79" t="n">
        <f aca="false">SUM(U7:U21)</f>
        <v>5416.22</v>
      </c>
      <c r="V22" s="79" t="n">
        <f aca="false">SUM(V7:V21)</f>
        <v>1084.41598611111</v>
      </c>
      <c r="W22" s="79" t="n">
        <f aca="false">SUM(W7:W21)</f>
        <v>553.083333333333</v>
      </c>
      <c r="X22" s="79" t="n">
        <f aca="false">SUM(X7:X21)</f>
        <v>23.6</v>
      </c>
      <c r="Y22" s="79" t="n">
        <f aca="false">SUM(Y7:Y21)</f>
        <v>1437.22766666667</v>
      </c>
      <c r="Z22" s="79" t="n">
        <f aca="false">SUM(Z7:Z21)</f>
        <v>3890.26082375914</v>
      </c>
      <c r="AA22" s="79" t="n">
        <f aca="false">SUM(AA7:AA21)</f>
        <v>4668.31298851097</v>
      </c>
      <c r="AB22" s="79" t="n">
        <f aca="false">SUM(AB7:AB21)</f>
        <v>5668.66577176332</v>
      </c>
      <c r="AC22" s="79" t="n">
        <f aca="false">SUM(AC7:AC21)</f>
        <v>9558.92659552246</v>
      </c>
      <c r="AD22" s="79" t="n">
        <f aca="false">SUM(AD7:AD21)</f>
        <v>7239.25892025037</v>
      </c>
      <c r="AE22" s="79" t="n">
        <f aca="false">SUM(AE7:AE21)</f>
        <v>8295.7430850022</v>
      </c>
      <c r="AF22" s="79" t="n">
        <f aca="false">SUM(AF7:AF21)</f>
        <v>9654.07986825455</v>
      </c>
      <c r="AG22" s="79" t="n">
        <f aca="false">SUM(AG7:AG21)</f>
        <v>16931.9846920137</v>
      </c>
      <c r="AI22" s="76" t="s">
        <v>102</v>
      </c>
      <c r="AJ22" s="76"/>
      <c r="AK22" s="80" t="n">
        <f aca="false">SUM(AK7:AK21)</f>
        <v>9425.55164851333</v>
      </c>
      <c r="AL22" s="80" t="n">
        <f aca="false">SUM(AL7:AL21)</f>
        <v>10799.0169076892</v>
      </c>
      <c r="AM22" s="80" t="n">
        <f aca="false">SUM(AM7:AM21)</f>
        <v>12566.4592612424</v>
      </c>
      <c r="AN22" s="80" t="n">
        <f aca="false">SUM(AN7:AN21)</f>
        <v>22013.9051358179</v>
      </c>
      <c r="AO22" s="80" t="n">
        <f aca="false">SUM(AO7:AO21)</f>
        <v>16954.1259226016</v>
      </c>
      <c r="AP22" s="80" t="n">
        <f aca="false">SUM(AP7:AP21)</f>
        <v>50862.3777678048</v>
      </c>
      <c r="AQ22" s="80" t="n">
        <f aca="false">SUM(AQ7:AQ21)</f>
        <v>67816.5036904064</v>
      </c>
    </row>
    <row r="23" customFormat="false" ht="18" hidden="false" customHeight="true" outlineLevel="0" collapsed="false">
      <c r="H23" s="81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58"/>
      <c r="AE23" s="58"/>
      <c r="AF23" s="58"/>
      <c r="AG23" s="58"/>
    </row>
    <row r="24" customFormat="false" ht="39.75" hidden="false" customHeight="true" outlineLevel="0" collapsed="false">
      <c r="B24" s="49" t="s">
        <v>30</v>
      </c>
      <c r="C24" s="83" t="s">
        <v>103</v>
      </c>
      <c r="D24" s="83" t="s">
        <v>104</v>
      </c>
      <c r="E24" s="83" t="s">
        <v>105</v>
      </c>
      <c r="R24" s="84"/>
      <c r="Z24" s="84"/>
      <c r="AA24" s="84"/>
      <c r="AB24" s="84"/>
      <c r="AC24" s="84"/>
    </row>
    <row r="25" customFormat="false" ht="18" hidden="false" customHeight="true" outlineLevel="0" collapsed="false">
      <c r="B25" s="49"/>
      <c r="C25" s="26" t="n">
        <f aca="false">'Comp. Oficial de Manutenção'!D11</f>
        <v>28.44</v>
      </c>
      <c r="D25" s="26" t="n">
        <v>21.28</v>
      </c>
      <c r="E25" s="26" t="n">
        <v>35.89</v>
      </c>
    </row>
    <row r="26" customFormat="false" ht="28.5" hidden="false" customHeight="true" outlineLevel="0" collapsed="false">
      <c r="B26" s="53" t="s">
        <v>37</v>
      </c>
    </row>
    <row r="27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2:AJ22"/>
    <mergeCell ref="B24:B25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1048576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38" activeCellId="0" sqref="B3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3" min="4" style="85" width="9.62"/>
    <col collapsed="false" customWidth="true" hidden="false" outlineLevel="0" max="15" min="14" style="86" width="9.62"/>
    <col collapsed="false" customWidth="true" hidden="false" outlineLevel="0" max="17" min="16" style="85" width="9.62"/>
    <col collapsed="false" customWidth="true" hidden="false" outlineLevel="0" max="260" min="18" style="85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"&amp;Resumo!B5</f>
        <v>DESLOCAMENTO BASE FLORIANÓPOLIS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customFormat="false" ht="37.5" hidden="false" customHeight="true" outlineLevel="0" collapsed="false">
      <c r="B4" s="23" t="s">
        <v>106</v>
      </c>
      <c r="C4" s="23" t="str">
        <f aca="false">"Rota (saída e retorno "&amp;Resumo!B5&amp;")"</f>
        <v>Rota (saída e retorno FLORIANÓPOLIS)</v>
      </c>
      <c r="D4" s="23" t="s">
        <v>107</v>
      </c>
      <c r="E4" s="23" t="s">
        <v>108</v>
      </c>
      <c r="F4" s="23" t="s">
        <v>109</v>
      </c>
      <c r="G4" s="23" t="s">
        <v>110</v>
      </c>
      <c r="H4" s="23" t="s">
        <v>111</v>
      </c>
      <c r="I4" s="23" t="s">
        <v>112</v>
      </c>
      <c r="J4" s="23" t="s">
        <v>113</v>
      </c>
      <c r="K4" s="23" t="s">
        <v>114</v>
      </c>
      <c r="L4" s="23" t="s">
        <v>115</v>
      </c>
      <c r="M4" s="88" t="s">
        <v>116</v>
      </c>
      <c r="N4" s="23" t="s">
        <v>117</v>
      </c>
      <c r="O4" s="88" t="s">
        <v>118</v>
      </c>
      <c r="P4" s="23" t="s">
        <v>119</v>
      </c>
      <c r="Q4" s="88" t="s">
        <v>67</v>
      </c>
      <c r="R4" s="34" t="s">
        <v>120</v>
      </c>
      <c r="S4" s="34" t="s">
        <v>121</v>
      </c>
    </row>
    <row r="5" customFormat="false" ht="15.75" hidden="false" customHeight="true" outlineLevel="0" collapsed="false">
      <c r="B5" s="52" t="n">
        <v>1</v>
      </c>
      <c r="C5" s="89" t="s">
        <v>99</v>
      </c>
      <c r="D5" s="90" t="n">
        <v>1.4</v>
      </c>
      <c r="E5" s="90" t="n">
        <v>1.4</v>
      </c>
      <c r="F5" s="90" t="n">
        <v>0</v>
      </c>
      <c r="G5" s="91" t="n">
        <f aca="false">SUM(D5:F5)</f>
        <v>2.8</v>
      </c>
      <c r="H5" s="92" t="n">
        <v>5</v>
      </c>
      <c r="I5" s="92" t="n">
        <v>4</v>
      </c>
      <c r="J5" s="92" t="n">
        <v>0</v>
      </c>
      <c r="K5" s="93" t="n">
        <f aca="false">SUM(H5:J5)</f>
        <v>9</v>
      </c>
      <c r="L5" s="94" t="n">
        <f aca="false">K5/60</f>
        <v>0.15</v>
      </c>
      <c r="M5" s="95" t="n">
        <v>0</v>
      </c>
      <c r="N5" s="96" t="n">
        <v>2</v>
      </c>
      <c r="O5" s="97" t="n">
        <f aca="false">L5/N5</f>
        <v>0.075</v>
      </c>
      <c r="P5" s="98" t="n">
        <f aca="false">M5/N5</f>
        <v>0</v>
      </c>
      <c r="Q5" s="99" t="n">
        <v>0</v>
      </c>
      <c r="R5" s="100" t="str">
        <f aca="false">INDEX('Base Florianópolis'!$K$7:$K$21,MATCH(C5,'Base Florianópolis'!$B$7:$B$21,0))</f>
        <v>SIM</v>
      </c>
      <c r="S5" s="101" t="n">
        <v>1</v>
      </c>
    </row>
    <row r="6" customFormat="false" ht="15.75" hidden="false" customHeight="true" outlineLevel="0" collapsed="false">
      <c r="B6" s="52"/>
      <c r="C6" s="89" t="s">
        <v>101</v>
      </c>
      <c r="D6" s="90"/>
      <c r="E6" s="90"/>
      <c r="F6" s="90"/>
      <c r="G6" s="91"/>
      <c r="H6" s="92"/>
      <c r="I6" s="92"/>
      <c r="J6" s="92"/>
      <c r="K6" s="93"/>
      <c r="L6" s="94"/>
      <c r="M6" s="95"/>
      <c r="N6" s="96"/>
      <c r="O6" s="102" t="n">
        <f aca="false">O5</f>
        <v>0.075</v>
      </c>
      <c r="P6" s="103" t="n">
        <f aca="false">P5</f>
        <v>0</v>
      </c>
      <c r="Q6" s="104" t="n">
        <v>0</v>
      </c>
      <c r="R6" s="100" t="str">
        <f aca="false">INDEX('Base Florianópolis'!$K$7:$K$21,MATCH(C6,'Base Florianópolis'!$B$7:$B$21,0))</f>
        <v>SIM</v>
      </c>
      <c r="S6" s="101" t="n">
        <v>1</v>
      </c>
    </row>
    <row r="7" customFormat="false" ht="15.75" hidden="false" customHeight="true" outlineLevel="0" collapsed="false">
      <c r="B7" s="52" t="n">
        <v>2</v>
      </c>
      <c r="C7" s="89" t="s">
        <v>98</v>
      </c>
      <c r="D7" s="90" t="n">
        <v>2.2</v>
      </c>
      <c r="E7" s="90" t="n">
        <v>2.2</v>
      </c>
      <c r="F7" s="90" t="n">
        <v>1.2</v>
      </c>
      <c r="G7" s="91" t="n">
        <f aca="false">SUM(D7:F7)</f>
        <v>5.6</v>
      </c>
      <c r="H7" s="92" t="n">
        <v>7</v>
      </c>
      <c r="I7" s="92" t="n">
        <v>6</v>
      </c>
      <c r="J7" s="92" t="n">
        <v>4</v>
      </c>
      <c r="K7" s="93" t="n">
        <f aca="false">SUM(H7:J7)</f>
        <v>17</v>
      </c>
      <c r="L7" s="94" t="n">
        <f aca="false">K7/60</f>
        <v>0.283333333333333</v>
      </c>
      <c r="M7" s="95" t="n">
        <v>0</v>
      </c>
      <c r="N7" s="105" t="n">
        <v>2</v>
      </c>
      <c r="O7" s="106" t="n">
        <f aca="false">L7/N7</f>
        <v>0.141666666666667</v>
      </c>
      <c r="P7" s="107" t="n">
        <f aca="false">M7/N7</f>
        <v>0</v>
      </c>
      <c r="Q7" s="99" t="n">
        <v>0</v>
      </c>
      <c r="R7" s="100" t="str">
        <f aca="false">INDEX('Base Florianópolis'!$K$7:$K$21,MATCH(C7,'Base Florianópolis'!$B$7:$B$21,0))</f>
        <v>SIM</v>
      </c>
      <c r="S7" s="101" t="n">
        <v>1</v>
      </c>
    </row>
    <row r="8" customFormat="false" ht="15.75" hidden="false" customHeight="true" outlineLevel="0" collapsed="false">
      <c r="B8" s="52"/>
      <c r="C8" s="89" t="s">
        <v>100</v>
      </c>
      <c r="D8" s="90"/>
      <c r="E8" s="90"/>
      <c r="F8" s="90"/>
      <c r="G8" s="91"/>
      <c r="H8" s="92"/>
      <c r="I8" s="92"/>
      <c r="J8" s="92"/>
      <c r="K8" s="93"/>
      <c r="L8" s="94"/>
      <c r="M8" s="95"/>
      <c r="N8" s="105"/>
      <c r="O8" s="102" t="n">
        <f aca="false">O7</f>
        <v>0.141666666666667</v>
      </c>
      <c r="P8" s="108" t="n">
        <f aca="false">P7</f>
        <v>0</v>
      </c>
      <c r="Q8" s="109" t="n">
        <v>0</v>
      </c>
      <c r="R8" s="100" t="str">
        <f aca="false">INDEX('Base Florianópolis'!$K$7:$K$21,MATCH(C8,'Base Florianópolis'!$B$7:$B$21,0))</f>
        <v>NÃO</v>
      </c>
      <c r="S8" s="101" t="n">
        <v>1</v>
      </c>
    </row>
    <row r="9" customFormat="false" ht="15.75" hidden="false" customHeight="true" outlineLevel="0" collapsed="false">
      <c r="B9" s="52" t="n">
        <v>3</v>
      </c>
      <c r="C9" s="89" t="s">
        <v>92</v>
      </c>
      <c r="D9" s="90" t="n">
        <v>17.4</v>
      </c>
      <c r="E9" s="90" t="n">
        <v>1</v>
      </c>
      <c r="F9" s="90" t="n">
        <v>19</v>
      </c>
      <c r="G9" s="91" t="n">
        <f aca="false">SUM(D9:F9)</f>
        <v>37.4</v>
      </c>
      <c r="H9" s="90" t="n">
        <v>18</v>
      </c>
      <c r="I9" s="90" t="n">
        <v>2</v>
      </c>
      <c r="J9" s="90" t="n">
        <v>18</v>
      </c>
      <c r="K9" s="91" t="n">
        <f aca="false">SUM(H9:J9)</f>
        <v>38</v>
      </c>
      <c r="L9" s="91" t="n">
        <f aca="false">K9/60</f>
        <v>0.633333333333333</v>
      </c>
      <c r="M9" s="95" t="n">
        <v>0</v>
      </c>
      <c r="N9" s="105" t="n">
        <v>2</v>
      </c>
      <c r="O9" s="97" t="n">
        <f aca="false">L9/N9</f>
        <v>0.316666666666667</v>
      </c>
      <c r="P9" s="99" t="n">
        <f aca="false">M9/N9</f>
        <v>0</v>
      </c>
      <c r="Q9" s="104" t="n">
        <v>0</v>
      </c>
      <c r="R9" s="100" t="str">
        <f aca="false">INDEX('Base Florianópolis'!$K$7:$K$21,MATCH(C9,'Base Florianópolis'!$B$7:$B$21,0))</f>
        <v>NÃO</v>
      </c>
      <c r="S9" s="101" t="n">
        <v>0</v>
      </c>
    </row>
    <row r="10" customFormat="false" ht="15.75" hidden="false" customHeight="true" outlineLevel="0" collapsed="false">
      <c r="B10" s="52"/>
      <c r="C10" s="89" t="s">
        <v>97</v>
      </c>
      <c r="D10" s="90"/>
      <c r="E10" s="90"/>
      <c r="F10" s="90"/>
      <c r="G10" s="91"/>
      <c r="H10" s="90"/>
      <c r="I10" s="90"/>
      <c r="J10" s="90"/>
      <c r="K10" s="91"/>
      <c r="L10" s="91"/>
      <c r="M10" s="95"/>
      <c r="N10" s="105"/>
      <c r="O10" s="102" t="n">
        <f aca="false">O9</f>
        <v>0.316666666666667</v>
      </c>
      <c r="P10" s="109" t="n">
        <f aca="false">P9</f>
        <v>0</v>
      </c>
      <c r="Q10" s="109" t="n">
        <v>0</v>
      </c>
      <c r="R10" s="100" t="str">
        <f aca="false">INDEX('Base Florianópolis'!$K$7:$K$21,MATCH(C10,'Base Florianópolis'!$B$7:$B$21,0))</f>
        <v>NÃO</v>
      </c>
      <c r="S10" s="101" t="n">
        <v>0</v>
      </c>
    </row>
    <row r="11" customFormat="false" ht="15.75" hidden="false" customHeight="true" outlineLevel="0" collapsed="false">
      <c r="B11" s="52" t="n">
        <v>4</v>
      </c>
      <c r="C11" s="89" t="s">
        <v>83</v>
      </c>
      <c r="D11" s="90" t="n">
        <v>0.7</v>
      </c>
      <c r="E11" s="90" t="n">
        <v>19.7</v>
      </c>
      <c r="F11" s="90" t="n">
        <v>20.2</v>
      </c>
      <c r="G11" s="91" t="n">
        <f aca="false">SUM(D11:F11)</f>
        <v>40.6</v>
      </c>
      <c r="H11" s="90" t="n">
        <v>2</v>
      </c>
      <c r="I11" s="90" t="n">
        <v>20</v>
      </c>
      <c r="J11" s="90" t="n">
        <v>20</v>
      </c>
      <c r="K11" s="91" t="n">
        <f aca="false">SUM(H11:J11)</f>
        <v>42</v>
      </c>
      <c r="L11" s="91" t="n">
        <f aca="false">K11/60</f>
        <v>0.7</v>
      </c>
      <c r="M11" s="95" t="n">
        <v>0</v>
      </c>
      <c r="N11" s="105" t="n">
        <v>2</v>
      </c>
      <c r="O11" s="97" t="n">
        <f aca="false">L11/N11</f>
        <v>0.35</v>
      </c>
      <c r="P11" s="99" t="n">
        <f aca="false">M11/N11</f>
        <v>0</v>
      </c>
      <c r="Q11" s="99" t="n">
        <v>0</v>
      </c>
      <c r="R11" s="100" t="str">
        <f aca="false">INDEX('Base Florianópolis'!$K$7:$K$21,MATCH(C11,'Base Florianópolis'!$B$7:$B$21,0))</f>
        <v>SIM</v>
      </c>
      <c r="S11" s="101" t="n">
        <v>1</v>
      </c>
    </row>
    <row r="12" customFormat="false" ht="15.75" hidden="false" customHeight="true" outlineLevel="0" collapsed="false">
      <c r="B12" s="52"/>
      <c r="C12" s="89" t="s">
        <v>85</v>
      </c>
      <c r="D12" s="90"/>
      <c r="E12" s="90"/>
      <c r="F12" s="90"/>
      <c r="G12" s="91"/>
      <c r="H12" s="90"/>
      <c r="I12" s="90"/>
      <c r="J12" s="90"/>
      <c r="K12" s="91"/>
      <c r="L12" s="91"/>
      <c r="M12" s="95" t="n">
        <v>0</v>
      </c>
      <c r="N12" s="105"/>
      <c r="O12" s="102" t="n">
        <f aca="false">O11</f>
        <v>0.35</v>
      </c>
      <c r="P12" s="109" t="n">
        <f aca="false">P11</f>
        <v>0</v>
      </c>
      <c r="Q12" s="109" t="n">
        <v>0</v>
      </c>
      <c r="R12" s="100" t="str">
        <f aca="false">INDEX('Base Florianópolis'!$K$7:$K$21,MATCH(C12,'Base Florianópolis'!$B$7:$B$21,0))</f>
        <v>NÃO</v>
      </c>
      <c r="S12" s="101" t="n">
        <v>1</v>
      </c>
    </row>
    <row r="13" customFormat="false" ht="23.1" hidden="false" customHeight="false" outlineLevel="0" collapsed="false">
      <c r="B13" s="52" t="n">
        <v>5</v>
      </c>
      <c r="C13" s="89" t="s">
        <v>87</v>
      </c>
      <c r="D13" s="90" t="n">
        <v>4.3</v>
      </c>
      <c r="E13" s="90" t="n">
        <v>3.5</v>
      </c>
      <c r="F13" s="90" t="n">
        <v>7.9</v>
      </c>
      <c r="G13" s="91" t="n">
        <f aca="false">SUM(D13:F13)</f>
        <v>15.7</v>
      </c>
      <c r="H13" s="90" t="n">
        <v>8</v>
      </c>
      <c r="I13" s="90" t="n">
        <v>7</v>
      </c>
      <c r="J13" s="90" t="n">
        <v>8</v>
      </c>
      <c r="K13" s="91" t="n">
        <f aca="false">SUM(H13:J13)</f>
        <v>23</v>
      </c>
      <c r="L13" s="91" t="n">
        <f aca="false">K13/60</f>
        <v>0.383333333333333</v>
      </c>
      <c r="M13" s="95" t="n">
        <v>0</v>
      </c>
      <c r="N13" s="105" t="n">
        <v>2</v>
      </c>
      <c r="O13" s="97" t="n">
        <f aca="false">L13/N13</f>
        <v>0.191666666666667</v>
      </c>
      <c r="P13" s="99" t="n">
        <f aca="false">M13/N13</f>
        <v>0</v>
      </c>
      <c r="Q13" s="99" t="n">
        <v>0</v>
      </c>
      <c r="R13" s="100" t="str">
        <f aca="false">INDEX('Base Florianópolis'!$K$7:$K$21,MATCH(C13,'Base Florianópolis'!$B$7:$B$21,0))</f>
        <v>SIM</v>
      </c>
      <c r="S13" s="101" t="n">
        <v>1</v>
      </c>
    </row>
    <row r="14" customFormat="false" ht="15.75" hidden="false" customHeight="true" outlineLevel="0" collapsed="false">
      <c r="B14" s="52"/>
      <c r="C14" s="89" t="s">
        <v>94</v>
      </c>
      <c r="D14" s="90"/>
      <c r="E14" s="90"/>
      <c r="F14" s="90"/>
      <c r="G14" s="91"/>
      <c r="H14" s="90"/>
      <c r="I14" s="90"/>
      <c r="J14" s="90"/>
      <c r="K14" s="91"/>
      <c r="L14" s="91"/>
      <c r="M14" s="95"/>
      <c r="N14" s="105"/>
      <c r="O14" s="102" t="n">
        <f aca="false">O13</f>
        <v>0.191666666666667</v>
      </c>
      <c r="P14" s="109" t="n">
        <f aca="false">P13</f>
        <v>0</v>
      </c>
      <c r="Q14" s="109" t="n">
        <v>0</v>
      </c>
      <c r="R14" s="100" t="str">
        <f aca="false">INDEX('Base Florianópolis'!$K$7:$K$21,MATCH(C14,'Base Florianópolis'!$B$7:$B$21,0))</f>
        <v>NÃO</v>
      </c>
      <c r="S14" s="101" t="n">
        <v>1</v>
      </c>
    </row>
    <row r="15" customFormat="false" ht="15.75" hidden="false" customHeight="true" outlineLevel="0" collapsed="false">
      <c r="B15" s="52" t="n">
        <v>6</v>
      </c>
      <c r="C15" s="89" t="s">
        <v>89</v>
      </c>
      <c r="D15" s="90" t="n">
        <v>68.1</v>
      </c>
      <c r="E15" s="90" t="n">
        <v>18.7</v>
      </c>
      <c r="F15" s="90" t="n">
        <v>52.3</v>
      </c>
      <c r="G15" s="91" t="n">
        <f aca="false">SUM(D15:F15)</f>
        <v>139.1</v>
      </c>
      <c r="H15" s="90" t="n">
        <v>53</v>
      </c>
      <c r="I15" s="90" t="n">
        <v>19</v>
      </c>
      <c r="J15" s="90" t="n">
        <v>42</v>
      </c>
      <c r="K15" s="91" t="n">
        <f aca="false">SUM(H15:J15)</f>
        <v>114</v>
      </c>
      <c r="L15" s="91" t="n">
        <f aca="false">K15/60</f>
        <v>1.9</v>
      </c>
      <c r="M15" s="100" t="n">
        <v>9.8</v>
      </c>
      <c r="N15" s="105" t="n">
        <v>2</v>
      </c>
      <c r="O15" s="97" t="n">
        <f aca="false">L15/N15</f>
        <v>0.95</v>
      </c>
      <c r="P15" s="99" t="n">
        <f aca="false">M15/N15</f>
        <v>4.9</v>
      </c>
      <c r="Q15" s="110" t="n">
        <v>0</v>
      </c>
      <c r="R15" s="100" t="str">
        <f aca="false">INDEX('Base Florianópolis'!$K$7:$K$21,MATCH(C15,'Base Florianópolis'!$B$7:$B$21,0))</f>
        <v>NÃO</v>
      </c>
      <c r="S15" s="101" t="n">
        <v>0</v>
      </c>
    </row>
    <row r="16" customFormat="false" ht="15.75" hidden="false" customHeight="true" outlineLevel="0" collapsed="false">
      <c r="B16" s="52"/>
      <c r="C16" s="89" t="s">
        <v>96</v>
      </c>
      <c r="D16" s="90"/>
      <c r="E16" s="90"/>
      <c r="F16" s="90"/>
      <c r="G16" s="91"/>
      <c r="H16" s="90"/>
      <c r="I16" s="90"/>
      <c r="J16" s="90"/>
      <c r="K16" s="91"/>
      <c r="L16" s="91"/>
      <c r="M16" s="100"/>
      <c r="N16" s="105"/>
      <c r="O16" s="102" t="n">
        <f aca="false">O15</f>
        <v>0.95</v>
      </c>
      <c r="P16" s="109" t="n">
        <f aca="false">P15</f>
        <v>4.9</v>
      </c>
      <c r="Q16" s="111" t="n">
        <v>0</v>
      </c>
      <c r="R16" s="100" t="str">
        <f aca="false">INDEX('Base Florianópolis'!$K$7:$K$21,MATCH(C16,'Base Florianópolis'!$B$7:$B$21,0))</f>
        <v>NÃO</v>
      </c>
      <c r="S16" s="101" t="n">
        <v>0</v>
      </c>
    </row>
    <row r="17" customFormat="false" ht="15.75" hidden="false" customHeight="true" outlineLevel="0" collapsed="false">
      <c r="B17" s="52" t="n">
        <v>7</v>
      </c>
      <c r="C17" s="89" t="s">
        <v>81</v>
      </c>
      <c r="D17" s="90" t="n">
        <v>109</v>
      </c>
      <c r="E17" s="90" t="n">
        <v>124</v>
      </c>
      <c r="F17" s="90" t="n">
        <v>232</v>
      </c>
      <c r="G17" s="91" t="n">
        <f aca="false">SUM(D17:F17)</f>
        <v>465</v>
      </c>
      <c r="H17" s="90" t="n">
        <v>104</v>
      </c>
      <c r="I17" s="90" t="n">
        <v>118</v>
      </c>
      <c r="J17" s="90" t="n">
        <v>218</v>
      </c>
      <c r="K17" s="91" t="n">
        <f aca="false">SUM(H17:J17)</f>
        <v>440</v>
      </c>
      <c r="L17" s="91" t="n">
        <f aca="false">K17/60</f>
        <v>7.33333333333333</v>
      </c>
      <c r="M17" s="95" t="n">
        <v>0</v>
      </c>
      <c r="N17" s="105" t="n">
        <v>2</v>
      </c>
      <c r="O17" s="97" t="n">
        <f aca="false">L17/N17</f>
        <v>3.66666666666667</v>
      </c>
      <c r="P17" s="99" t="n">
        <f aca="false">M17/N17</f>
        <v>0</v>
      </c>
      <c r="Q17" s="110" t="n">
        <f aca="false">E40/N17</f>
        <v>66.37</v>
      </c>
      <c r="R17" s="100" t="str">
        <f aca="false">INDEX('Base Florianópolis'!$K$7:$K$21,MATCH(C17,'Base Florianópolis'!$B$7:$B$21,0))</f>
        <v>NÃO</v>
      </c>
      <c r="S17" s="101" t="n">
        <v>1</v>
      </c>
    </row>
    <row r="18" customFormat="false" ht="15.75" hidden="false" customHeight="true" outlineLevel="0" collapsed="false">
      <c r="B18" s="52"/>
      <c r="C18" s="89" t="s">
        <v>90</v>
      </c>
      <c r="D18" s="90"/>
      <c r="E18" s="90"/>
      <c r="F18" s="90"/>
      <c r="G18" s="91"/>
      <c r="H18" s="90"/>
      <c r="I18" s="90"/>
      <c r="J18" s="90"/>
      <c r="K18" s="91"/>
      <c r="L18" s="91"/>
      <c r="M18" s="95"/>
      <c r="N18" s="105"/>
      <c r="O18" s="102" t="n">
        <f aca="false">O17</f>
        <v>3.66666666666667</v>
      </c>
      <c r="P18" s="109" t="n">
        <f aca="false">P17</f>
        <v>0</v>
      </c>
      <c r="Q18" s="111" t="n">
        <f aca="false">Q17</f>
        <v>66.37</v>
      </c>
      <c r="R18" s="100" t="str">
        <f aca="false">INDEX('Base Florianópolis'!$K$7:$K$21,MATCH(C18,'Base Florianópolis'!$B$7:$B$21,0))</f>
        <v>SIM</v>
      </c>
      <c r="S18" s="101" t="n">
        <v>1</v>
      </c>
    </row>
    <row r="19" customFormat="false" ht="15.75" hidden="false" customHeight="true" outlineLevel="0" collapsed="false">
      <c r="B19" s="112" t="n">
        <v>8</v>
      </c>
      <c r="C19" s="89" t="s">
        <v>86</v>
      </c>
      <c r="D19" s="113" t="n">
        <v>317</v>
      </c>
      <c r="E19" s="113" t="n">
        <v>318</v>
      </c>
      <c r="F19" s="113" t="n">
        <v>0</v>
      </c>
      <c r="G19" s="114" t="n">
        <f aca="false">SUM(D19:F19)</f>
        <v>635</v>
      </c>
      <c r="H19" s="90" t="n">
        <v>282</v>
      </c>
      <c r="I19" s="90" t="n">
        <v>278</v>
      </c>
      <c r="J19" s="90" t="n">
        <v>0</v>
      </c>
      <c r="K19" s="91" t="n">
        <f aca="false">SUM(H19:J19)</f>
        <v>560</v>
      </c>
      <c r="L19" s="114" t="n">
        <f aca="false">K19/60</f>
        <v>9.33333333333333</v>
      </c>
      <c r="M19" s="115" t="n">
        <v>13.8</v>
      </c>
      <c r="N19" s="116" t="n">
        <v>1</v>
      </c>
      <c r="O19" s="117" t="n">
        <f aca="false">L19/N19</f>
        <v>9.33333333333333</v>
      </c>
      <c r="P19" s="115" t="n">
        <f aca="false">M19/N19</f>
        <v>13.8</v>
      </c>
      <c r="Q19" s="115" t="n">
        <f aca="false">E40</f>
        <v>132.74</v>
      </c>
      <c r="R19" s="100" t="str">
        <f aca="false">INDEX('Base Florianópolis'!$K$7:$K$21,MATCH(C19,'Base Florianópolis'!$B$7:$B$21,0))</f>
        <v>SIM</v>
      </c>
      <c r="S19" s="101" t="n">
        <v>1</v>
      </c>
    </row>
    <row r="20" customFormat="false" ht="19.5" hidden="false" customHeight="true" outlineLevel="0" collapsed="false">
      <c r="B20" s="118" t="s">
        <v>102</v>
      </c>
      <c r="C20" s="118"/>
      <c r="D20" s="118"/>
      <c r="E20" s="118"/>
      <c r="F20" s="118"/>
      <c r="G20" s="119" t="n">
        <f aca="false">SUM(G5:G19)</f>
        <v>1341.2</v>
      </c>
      <c r="H20" s="119" t="s">
        <v>102</v>
      </c>
      <c r="I20" s="119"/>
      <c r="J20" s="119"/>
      <c r="K20" s="119" t="n">
        <f aca="false">SUM(K5:K19)</f>
        <v>1243</v>
      </c>
      <c r="L20" s="120" t="n">
        <f aca="false">SUM(L5:L19)</f>
        <v>20.7166666666667</v>
      </c>
      <c r="M20" s="121" t="n">
        <f aca="false">SUM(M5:M19)</f>
        <v>23.6</v>
      </c>
      <c r="N20" s="122" t="n">
        <f aca="false">SUM(N5:N19)</f>
        <v>15</v>
      </c>
      <c r="O20" s="123"/>
      <c r="P20" s="124"/>
      <c r="Q20" s="121" t="n">
        <f aca="false">SUM(Q5:Q19)</f>
        <v>265.48</v>
      </c>
      <c r="R20" s="121"/>
      <c r="S20" s="122"/>
    </row>
    <row r="21" customFormat="false" ht="16.5" hidden="false" customHeight="true" outlineLevel="0" collapsed="false">
      <c r="B21" s="125"/>
      <c r="C21" s="125"/>
      <c r="D21" s="125"/>
      <c r="E21" s="125"/>
      <c r="F21" s="125"/>
    </row>
    <row r="22" customFormat="false" ht="18.75" hidden="false" customHeight="true" outlineLevel="0" collapsed="false">
      <c r="B22" s="126" t="s">
        <v>122</v>
      </c>
      <c r="C22" s="126"/>
      <c r="D22" s="126"/>
      <c r="E22" s="126"/>
      <c r="F22" s="125"/>
      <c r="G22" s="125"/>
      <c r="H22" s="125"/>
      <c r="I22" s="125"/>
      <c r="J22" s="125"/>
      <c r="K22" s="125"/>
      <c r="L22" s="125"/>
      <c r="M22" s="125"/>
      <c r="N22" s="127"/>
      <c r="O22" s="127"/>
    </row>
    <row r="23" customFormat="false" ht="18.75" hidden="false" customHeight="true" outlineLevel="0" collapsed="false">
      <c r="B23" s="128" t="s">
        <v>123</v>
      </c>
      <c r="C23" s="128" t="s">
        <v>124</v>
      </c>
      <c r="D23" s="128" t="s">
        <v>125</v>
      </c>
      <c r="E23" s="128" t="s">
        <v>126</v>
      </c>
      <c r="F23" s="125"/>
      <c r="G23" s="125"/>
      <c r="H23" s="127"/>
      <c r="I23" s="127"/>
      <c r="J23" s="125"/>
      <c r="K23" s="125"/>
      <c r="L23" s="125"/>
      <c r="M23" s="125"/>
      <c r="N23" s="127"/>
      <c r="O23" s="127"/>
    </row>
    <row r="24" customFormat="false" ht="18.75" hidden="false" customHeight="true" outlineLevel="0" collapsed="false">
      <c r="B24" s="52" t="s">
        <v>127</v>
      </c>
      <c r="C24" s="129" t="s">
        <v>128</v>
      </c>
      <c r="D24" s="52" t="s">
        <v>129</v>
      </c>
      <c r="E24" s="130" t="n">
        <f aca="false">'Comp. Veículo'!D11</f>
        <v>52.02</v>
      </c>
      <c r="F24" s="125"/>
      <c r="G24" s="125"/>
      <c r="H24" s="131"/>
      <c r="I24" s="131"/>
      <c r="J24" s="125"/>
      <c r="K24" s="125"/>
      <c r="L24" s="125"/>
      <c r="M24" s="125"/>
      <c r="N24" s="127"/>
      <c r="O24" s="127"/>
    </row>
    <row r="25" customFormat="false" ht="18.75" hidden="false" customHeight="true" outlineLevel="0" collapsed="false">
      <c r="B25" s="112" t="s">
        <v>130</v>
      </c>
      <c r="C25" s="132" t="s">
        <v>128</v>
      </c>
      <c r="D25" s="112" t="s">
        <v>131</v>
      </c>
      <c r="E25" s="133" t="n">
        <f aca="false">'Comp. Veículo'!D27</f>
        <v>6.95</v>
      </c>
      <c r="F25" s="125"/>
      <c r="G25" s="125"/>
      <c r="H25" s="131"/>
      <c r="I25" s="131"/>
      <c r="J25" s="125"/>
      <c r="K25" s="125"/>
      <c r="L25" s="125"/>
      <c r="M25" s="125"/>
      <c r="N25" s="127"/>
      <c r="O25" s="127"/>
    </row>
    <row r="26" customFormat="false" ht="47.25" hidden="false" customHeight="true" outlineLevel="0" collapsed="false">
      <c r="B26" s="134" t="s">
        <v>132</v>
      </c>
      <c r="C26" s="134"/>
      <c r="D26" s="134"/>
      <c r="E26" s="134"/>
      <c r="F26" s="135"/>
      <c r="G26" s="135"/>
      <c r="H26" s="135"/>
      <c r="I26" s="135"/>
      <c r="J26" s="135"/>
      <c r="K26" s="135"/>
      <c r="L26" s="135"/>
      <c r="M26" s="125"/>
      <c r="N26" s="127"/>
      <c r="O26" s="127"/>
    </row>
    <row r="27" customFormat="false" ht="16.5" hidden="false" customHeight="true" outlineLevel="0" collapsed="false">
      <c r="B27" s="136"/>
      <c r="C27" s="136"/>
      <c r="D27" s="136"/>
      <c r="E27" s="136"/>
      <c r="F27" s="135"/>
      <c r="G27" s="135"/>
      <c r="H27" s="135"/>
      <c r="I27" s="135"/>
      <c r="J27" s="135"/>
      <c r="K27" s="135"/>
      <c r="L27" s="135"/>
      <c r="M27" s="125"/>
      <c r="N27" s="127"/>
      <c r="O27" s="127"/>
    </row>
    <row r="28" customFormat="false" ht="16.5" hidden="false" customHeight="true" outlineLevel="0" collapsed="false">
      <c r="B28" s="126" t="s">
        <v>133</v>
      </c>
      <c r="C28" s="126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7"/>
      <c r="O28" s="127"/>
    </row>
    <row r="29" customFormat="false" ht="16.5" hidden="false" customHeight="true" outlineLevel="0" collapsed="false">
      <c r="B29" s="52" t="s">
        <v>129</v>
      </c>
      <c r="C29" s="130" t="n">
        <f aca="false">E24*L20</f>
        <v>1077.681</v>
      </c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7"/>
      <c r="O29" s="127"/>
    </row>
    <row r="30" customFormat="false" ht="16.5" hidden="false" customHeight="true" outlineLevel="0" collapsed="false">
      <c r="B30" s="52" t="s">
        <v>131</v>
      </c>
      <c r="C30" s="130" t="n">
        <f aca="false">E25*('Base Florianópolis'!N22/12)</f>
        <v>359.546666666667</v>
      </c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7"/>
      <c r="O30" s="127"/>
    </row>
    <row r="31" customFormat="false" ht="16.5" hidden="false" customHeight="true" outlineLevel="0" collapsed="false">
      <c r="B31" s="137" t="s">
        <v>28</v>
      </c>
      <c r="C31" s="138" t="n">
        <f aca="false">C29+C30</f>
        <v>1437.22766666667</v>
      </c>
      <c r="D31" s="125"/>
      <c r="E31" s="125"/>
      <c r="F31" s="125"/>
      <c r="G31" s="125"/>
      <c r="H31" s="125"/>
      <c r="I31" s="125"/>
      <c r="M31" s="125"/>
      <c r="N31" s="127"/>
      <c r="O31" s="127"/>
    </row>
    <row r="32" customFormat="false" ht="16.5" hidden="false" customHeight="true" outlineLevel="0" collapsed="false">
      <c r="B32" s="125"/>
      <c r="C32" s="139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7"/>
      <c r="O32" s="127"/>
    </row>
    <row r="33" customFormat="false" ht="16.5" hidden="false" customHeight="true" outlineLevel="0" collapsed="false">
      <c r="B33" s="140" t="s">
        <v>134</v>
      </c>
      <c r="C33" s="140"/>
      <c r="D33" s="125"/>
      <c r="J33" s="125"/>
      <c r="K33" s="125"/>
      <c r="L33" s="125"/>
      <c r="M33" s="125"/>
      <c r="N33" s="127"/>
      <c r="O33" s="127"/>
    </row>
    <row r="34" customFormat="false" ht="16.5" hidden="false" customHeight="true" outlineLevel="0" collapsed="false">
      <c r="B34" s="141" t="s">
        <v>126</v>
      </c>
      <c r="C34" s="142" t="n">
        <f aca="false">SUM(M5:M19)</f>
        <v>23.6</v>
      </c>
      <c r="J34" s="125"/>
      <c r="K34" s="125"/>
      <c r="L34" s="125"/>
      <c r="M34" s="125"/>
      <c r="N34" s="127"/>
      <c r="O34" s="127"/>
    </row>
    <row r="35" customFormat="false" ht="16.5" hidden="false" customHeight="true" outlineLevel="0" collapsed="false">
      <c r="B35" s="125"/>
      <c r="C35" s="143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7"/>
      <c r="O35" s="127"/>
    </row>
    <row r="36" customFormat="false" ht="14.25" hidden="false" customHeight="false" outlineLevel="0" collapsed="false">
      <c r="B36" s="144" t="s">
        <v>135</v>
      </c>
      <c r="C36" s="145"/>
    </row>
    <row r="38" customFormat="false" ht="16.5" hidden="false" customHeight="true" outlineLevel="0" collapsed="false">
      <c r="B38" s="146" t="s">
        <v>67</v>
      </c>
      <c r="C38" s="146"/>
      <c r="D38" s="146"/>
      <c r="E38" s="146"/>
      <c r="F38" s="147"/>
      <c r="G38" s="147"/>
    </row>
    <row r="39" customFormat="false" ht="16.5" hidden="false" customHeight="true" outlineLevel="0" collapsed="false">
      <c r="B39" s="148" t="s">
        <v>136</v>
      </c>
      <c r="C39" s="148" t="s">
        <v>124</v>
      </c>
      <c r="D39" s="148" t="s">
        <v>125</v>
      </c>
      <c r="E39" s="148" t="s">
        <v>126</v>
      </c>
      <c r="F39" s="147"/>
      <c r="G39" s="147"/>
    </row>
    <row r="40" customFormat="false" ht="23.3" hidden="false" customHeight="false" outlineLevel="0" collapsed="false">
      <c r="B40" s="112" t="s">
        <v>137</v>
      </c>
      <c r="C40" s="149" t="s">
        <v>138</v>
      </c>
      <c r="D40" s="112" t="s">
        <v>139</v>
      </c>
      <c r="E40" s="133" t="n">
        <v>132.74</v>
      </c>
      <c r="F40" s="147"/>
      <c r="G40" s="150"/>
    </row>
    <row r="41" customFormat="false" ht="16.5" hidden="false" customHeight="true" outlineLevel="0" collapsed="false">
      <c r="B41" s="151" t="s">
        <v>140</v>
      </c>
      <c r="C41" s="151"/>
      <c r="D41" s="151"/>
      <c r="E41" s="151"/>
      <c r="F41" s="147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3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B20:F20"/>
    <mergeCell ref="H20:J20"/>
    <mergeCell ref="B22:E22"/>
    <mergeCell ref="B26:E26"/>
    <mergeCell ref="B28:C28"/>
    <mergeCell ref="B33:C33"/>
    <mergeCell ref="B38:E38"/>
    <mergeCell ref="B41:E41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BN65530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W7" activeCellId="0" sqref="W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62"/>
    <col collapsed="false" customWidth="true" hidden="false" outlineLevel="0" max="15" min="3" style="18" width="12.62"/>
    <col collapsed="false" customWidth="true" hidden="false" outlineLevel="0" max="16" min="16" style="18" width="9.62"/>
    <col collapsed="false" customWidth="true" hidden="false" outlineLevel="0" max="17" min="17" style="18" width="23.63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23.12"/>
    <col collapsed="false" customWidth="true" hidden="false" outlineLevel="0" max="40" min="36" style="18" width="10.75"/>
    <col collapsed="false" customWidth="true" hidden="false" outlineLevel="0" max="41" min="41" style="18" width="14.5"/>
    <col collapsed="false" customWidth="true" hidden="false" outlineLevel="0" max="42" min="42" style="18" width="12.5"/>
    <col collapsed="false" customWidth="true" hidden="false" outlineLevel="0" max="43" min="43" style="18" width="14.25"/>
    <col collapsed="false" customWidth="true" hidden="false" outlineLevel="0" max="44" min="44" style="18" width="2.62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66" min="50" style="18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5" customFormat="true" ht="24.75" hidden="false" customHeight="true" outlineLevel="0" collapsed="false">
      <c r="B2" s="56" t="str">
        <f aca="false">"BASE "&amp;Resumo!B6&amp;" - PLANILHA DE FORMAÇÃO DE PREÇOS"</f>
        <v>BASE CRICIÚMA - PLANILHA DE FORMAÇÃO DE PREÇOS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7"/>
      <c r="Q2" s="46" t="str">
        <f aca="false">"BASE "&amp;Resumo!B6&amp;" – PLANILHA DE DISTRIBUIÇÃO DE CUSTOS POR UNIDADE"</f>
        <v>BASE CRICIÚMA – PLANILHA DE DISTRIBUIÇÃO DE CUSTOS POR UNIDADE</v>
      </c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7"/>
      <c r="AI2" s="59" t="str">
        <f aca="false">"BASE "&amp;Resumo!B6&amp;" – PLANILHA RESUMO DE CUSTOS DA BASE"</f>
        <v>BASE CRICIÚMA – PLANILHA RESUMO DE CUSTOS DA BASE</v>
      </c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</row>
    <row r="3" customFormat="false" ht="15" hidden="false" customHeight="true" outlineLevel="0" collapsed="false">
      <c r="B3" s="55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</row>
    <row r="4" customFormat="false" ht="19.5" hidden="false" customHeight="true" outlineLevel="0" collapsed="false">
      <c r="B4" s="49" t="s">
        <v>41</v>
      </c>
      <c r="C4" s="49" t="s">
        <v>42</v>
      </c>
      <c r="D4" s="49"/>
      <c r="E4" s="49"/>
      <c r="F4" s="49"/>
      <c r="G4" s="49"/>
      <c r="H4" s="49" t="s">
        <v>43</v>
      </c>
      <c r="I4" s="49"/>
      <c r="J4" s="49"/>
      <c r="K4" s="49"/>
      <c r="L4" s="49"/>
      <c r="M4" s="49"/>
      <c r="N4" s="49"/>
      <c r="O4" s="49" t="s">
        <v>28</v>
      </c>
      <c r="P4" s="57"/>
      <c r="Q4" s="49" t="s">
        <v>44</v>
      </c>
      <c r="R4" s="60" t="s">
        <v>45</v>
      </c>
      <c r="S4" s="60"/>
      <c r="T4" s="60"/>
      <c r="U4" s="60"/>
      <c r="V4" s="60" t="s">
        <v>46</v>
      </c>
      <c r="W4" s="60"/>
      <c r="X4" s="60"/>
      <c r="Y4" s="60"/>
      <c r="Z4" s="60" t="s">
        <v>47</v>
      </c>
      <c r="AA4" s="60"/>
      <c r="AB4" s="60"/>
      <c r="AC4" s="60"/>
      <c r="AD4" s="60" t="s">
        <v>48</v>
      </c>
      <c r="AE4" s="60"/>
      <c r="AF4" s="60"/>
      <c r="AG4" s="60"/>
      <c r="AH4" s="58"/>
      <c r="AI4" s="49" t="s">
        <v>44</v>
      </c>
      <c r="AJ4" s="61" t="s">
        <v>49</v>
      </c>
      <c r="AK4" s="61"/>
      <c r="AL4" s="61"/>
      <c r="AM4" s="61"/>
      <c r="AN4" s="61"/>
      <c r="AO4" s="61" t="s">
        <v>50</v>
      </c>
      <c r="AP4" s="61"/>
      <c r="AQ4" s="61"/>
      <c r="AR4" s="62"/>
      <c r="AS4" s="61" t="str">
        <f aca="false">"Resumo de Custos da Base "&amp;Resumo!B6</f>
        <v>Resumo de Custos da Base CRICIÚMA</v>
      </c>
      <c r="AT4" s="61"/>
      <c r="AU4" s="61"/>
      <c r="AV4" s="61"/>
      <c r="AW4" s="61"/>
    </row>
    <row r="5" customFormat="false" ht="39.75" hidden="false" customHeight="true" outlineLevel="0" collapsed="false">
      <c r="B5" s="49"/>
      <c r="C5" s="49" t="s">
        <v>28</v>
      </c>
      <c r="D5" s="49" t="s">
        <v>51</v>
      </c>
      <c r="E5" s="49" t="s">
        <v>52</v>
      </c>
      <c r="F5" s="49" t="s">
        <v>53</v>
      </c>
      <c r="G5" s="49" t="s">
        <v>54</v>
      </c>
      <c r="H5" s="49" t="s">
        <v>55</v>
      </c>
      <c r="I5" s="49" t="s">
        <v>56</v>
      </c>
      <c r="J5" s="49" t="s">
        <v>57</v>
      </c>
      <c r="K5" s="49" t="s">
        <v>58</v>
      </c>
      <c r="L5" s="49" t="s">
        <v>59</v>
      </c>
      <c r="M5" s="49" t="s">
        <v>60</v>
      </c>
      <c r="N5" s="49" t="s">
        <v>61</v>
      </c>
      <c r="O5" s="49"/>
      <c r="P5" s="57"/>
      <c r="Q5" s="49"/>
      <c r="R5" s="49" t="s">
        <v>62</v>
      </c>
      <c r="S5" s="49" t="s">
        <v>63</v>
      </c>
      <c r="T5" s="49" t="s">
        <v>64</v>
      </c>
      <c r="U5" s="49" t="s">
        <v>65</v>
      </c>
      <c r="V5" s="49" t="s">
        <v>66</v>
      </c>
      <c r="W5" s="49" t="s">
        <v>67</v>
      </c>
      <c r="X5" s="49" t="s">
        <v>68</v>
      </c>
      <c r="Y5" s="49" t="s">
        <v>69</v>
      </c>
      <c r="Z5" s="49" t="s">
        <v>70</v>
      </c>
      <c r="AA5" s="49"/>
      <c r="AB5" s="49"/>
      <c r="AC5" s="49" t="n">
        <f aca="false">N20+'Base Florianópolis'!N22</f>
        <v>1101.05</v>
      </c>
      <c r="AD5" s="60" t="s">
        <v>62</v>
      </c>
      <c r="AE5" s="60" t="s">
        <v>63</v>
      </c>
      <c r="AF5" s="60" t="s">
        <v>64</v>
      </c>
      <c r="AG5" s="60" t="s">
        <v>65</v>
      </c>
      <c r="AH5" s="45"/>
      <c r="AI5" s="49"/>
      <c r="AJ5" s="60" t="s">
        <v>71</v>
      </c>
      <c r="AK5" s="60" t="s">
        <v>62</v>
      </c>
      <c r="AL5" s="60" t="s">
        <v>63</v>
      </c>
      <c r="AM5" s="60" t="s">
        <v>64</v>
      </c>
      <c r="AN5" s="60" t="s">
        <v>65</v>
      </c>
      <c r="AO5" s="60" t="s">
        <v>72</v>
      </c>
      <c r="AP5" s="60" t="s">
        <v>73</v>
      </c>
      <c r="AQ5" s="60" t="s">
        <v>74</v>
      </c>
      <c r="AR5" s="58"/>
      <c r="AS5" s="60" t="s">
        <v>75</v>
      </c>
      <c r="AT5" s="60" t="s">
        <v>62</v>
      </c>
      <c r="AU5" s="60" t="s">
        <v>63</v>
      </c>
      <c r="AV5" s="60" t="s">
        <v>64</v>
      </c>
      <c r="AW5" s="60" t="s">
        <v>65</v>
      </c>
    </row>
    <row r="6" customFormat="false" ht="19.5" hidden="false" customHeight="true" outlineLevel="0" collapsed="false">
      <c r="B6" s="49"/>
      <c r="C6" s="63" t="s">
        <v>76</v>
      </c>
      <c r="D6" s="63" t="n">
        <v>1</v>
      </c>
      <c r="E6" s="63" t="n">
        <v>0.35</v>
      </c>
      <c r="F6" s="63" t="n">
        <v>0.1</v>
      </c>
      <c r="G6" s="49"/>
      <c r="H6" s="63" t="n">
        <v>1</v>
      </c>
      <c r="I6" s="63" t="n">
        <v>1.2</v>
      </c>
      <c r="J6" s="63" t="n">
        <v>2</v>
      </c>
      <c r="K6" s="63" t="n">
        <v>4</v>
      </c>
      <c r="L6" s="63" t="n">
        <v>1.1</v>
      </c>
      <c r="M6" s="63" t="n">
        <v>1.1</v>
      </c>
      <c r="N6" s="49"/>
      <c r="O6" s="49"/>
      <c r="P6" s="64"/>
      <c r="Q6" s="49"/>
      <c r="R6" s="63" t="s">
        <v>77</v>
      </c>
      <c r="S6" s="63" t="s">
        <v>78</v>
      </c>
      <c r="T6" s="63" t="s">
        <v>79</v>
      </c>
      <c r="U6" s="63" t="s">
        <v>80</v>
      </c>
      <c r="V6" s="49"/>
      <c r="W6" s="49"/>
      <c r="X6" s="49"/>
      <c r="Y6" s="49"/>
      <c r="Z6" s="37" t="s">
        <v>62</v>
      </c>
      <c r="AA6" s="37" t="s">
        <v>63</v>
      </c>
      <c r="AB6" s="37" t="s">
        <v>64</v>
      </c>
      <c r="AC6" s="37" t="s">
        <v>65</v>
      </c>
      <c r="AD6" s="60"/>
      <c r="AE6" s="60"/>
      <c r="AF6" s="60"/>
      <c r="AG6" s="60"/>
      <c r="AH6" s="58"/>
      <c r="AI6" s="49"/>
      <c r="AJ6" s="60"/>
      <c r="AK6" s="60"/>
      <c r="AL6" s="60"/>
      <c r="AM6" s="60"/>
      <c r="AN6" s="60"/>
      <c r="AO6" s="60"/>
      <c r="AP6" s="60"/>
      <c r="AQ6" s="60"/>
      <c r="AR6" s="65"/>
      <c r="AS6" s="60"/>
      <c r="AT6" s="37" t="s">
        <v>77</v>
      </c>
      <c r="AU6" s="37" t="s">
        <v>78</v>
      </c>
      <c r="AV6" s="37" t="s">
        <v>79</v>
      </c>
      <c r="AW6" s="37" t="s">
        <v>80</v>
      </c>
    </row>
    <row r="7" customFormat="false" ht="15" hidden="false" customHeight="true" outlineLevel="0" collapsed="false">
      <c r="B7" s="152" t="s">
        <v>141</v>
      </c>
      <c r="C7" s="66" t="n">
        <f aca="false">VLOOKUP($B7,Unidades!$D$5:$N$32,6,FALSE())</f>
        <v>1502.07</v>
      </c>
      <c r="D7" s="66" t="n">
        <f aca="false">VLOOKUP($B7,Unidades!$D$5:$N$32,7,FALSE())</f>
        <v>779.2</v>
      </c>
      <c r="E7" s="66" t="n">
        <f aca="false">VLOOKUP($B7,Unidades!$D$5:$N$32,8,FALSE())</f>
        <v>490.59</v>
      </c>
      <c r="F7" s="66" t="n">
        <f aca="false">VLOOKUP($B7,Unidades!$D$5:$N$32,9,FALSE())</f>
        <v>232.28</v>
      </c>
      <c r="G7" s="66" t="n">
        <f aca="false">D7+$E$6*E7+$F$6*F7</f>
        <v>974.1345</v>
      </c>
      <c r="H7" s="67" t="n">
        <f aca="false">IF(G7&lt;750,1.5,IF(G7&lt;2000,2,3))</f>
        <v>2</v>
      </c>
      <c r="I7" s="67" t="n">
        <f aca="false">$I$6*H7</f>
        <v>2.4</v>
      </c>
      <c r="J7" s="67" t="str">
        <f aca="false">VLOOKUP($B7,Unidades!$D$7:$N$32,10,FALSE())</f>
        <v>SIM</v>
      </c>
      <c r="K7" s="67" t="str">
        <f aca="false">VLOOKUP($B7,Unidades!$D$7:$N$32,11,FALSE())</f>
        <v>SIM</v>
      </c>
      <c r="L7" s="67" t="n">
        <f aca="false">$L$6*H7+(IF(J7="SIM",$J$6,0))</f>
        <v>4.2</v>
      </c>
      <c r="M7" s="67" t="n">
        <f aca="false">$M$6*H7+(IF(J7="SIM",$J$6,0))+(IF(K7="SIM",$K$6,0))</f>
        <v>8.2</v>
      </c>
      <c r="N7" s="67" t="n">
        <f aca="false">H7*12+I7*4+L7*2+M7</f>
        <v>50.2</v>
      </c>
      <c r="O7" s="68" t="n">
        <f aca="false">IF(K7="não", N7*(C$23+D$23),N7*(C$23+D$23)+(M7*+E$23))</f>
        <v>2790.242</v>
      </c>
      <c r="P7" s="69"/>
      <c r="Q7" s="24" t="str">
        <f aca="false">B7</f>
        <v>APS ARARANGUÁ</v>
      </c>
      <c r="R7" s="26" t="n">
        <f aca="false">H7*($C$23+$D$23)</f>
        <v>99.44</v>
      </c>
      <c r="S7" s="26" t="n">
        <f aca="false">I7*($C$23+$D$23)</f>
        <v>119.328</v>
      </c>
      <c r="T7" s="26" t="n">
        <f aca="false">L7*($C$23+$D$23)</f>
        <v>208.824</v>
      </c>
      <c r="U7" s="26" t="n">
        <f aca="false">IF(K7="não",M7*($C$23+$D$23),M7*(C$23+D$23+E$23))</f>
        <v>702.002</v>
      </c>
      <c r="V7" s="26" t="n">
        <f aca="false">VLOOKUP(Q7,'Desl. Base Criciúma'!$C$5:$S$17,13,FALSE())*($C$23+$D$23+$E$23*(VLOOKUP(Q7,'Desl. Base Criciúma'!$C$5:$S$17,17,FALSE())/12))</f>
        <v>52.2715763888889</v>
      </c>
      <c r="W7" s="26" t="n">
        <f aca="false">VLOOKUP(Q7,'Desl. Base Criciúma'!$C$5:$S$17,15,FALSE())*(2+(VLOOKUP(Q7,'Desl. Base Criciúma'!$C$5:$S$17,17,FALSE())/12))</f>
        <v>0</v>
      </c>
      <c r="X7" s="26" t="n">
        <f aca="false">VLOOKUP(Q7,'Desl. Base Criciúma'!$C$5:$Q$17,14,FALSE())</f>
        <v>2.5</v>
      </c>
      <c r="Y7" s="26" t="n">
        <f aca="false">VLOOKUP(Q7,'Desl. Base Criciúma'!$C$5:Q$17,13,FALSE())*'Desl. Base Criciúma'!$E$22+'Desl. Base Criciúma'!$E$23*N7/12</f>
        <v>80.6606666666667</v>
      </c>
      <c r="Z7" s="26" t="n">
        <f aca="false">(H7/$AC$5)*'Equipe Técnica'!$C$13</f>
        <v>277.875773125653</v>
      </c>
      <c r="AA7" s="26" t="n">
        <f aca="false">(I7/$AC$5)*'Equipe Técnica'!$C$13</f>
        <v>333.450927750783</v>
      </c>
      <c r="AB7" s="26" t="n">
        <f aca="false">(L7/$AC$5)*'Equipe Técnica'!$C$13</f>
        <v>583.539123563871</v>
      </c>
      <c r="AC7" s="26" t="n">
        <f aca="false">(M7/$AC$5)*'Equipe Técnica'!$C$13</f>
        <v>1139.29066981518</v>
      </c>
      <c r="AD7" s="26" t="n">
        <f aca="false">R7+(($V7+$W7+$X7+$Y7)*12/19)+$Z7</f>
        <v>462.851926634425</v>
      </c>
      <c r="AE7" s="26" t="n">
        <f aca="false">S7+(($V7+$W7+$X7+$Y7)*12/19)+$AA7</f>
        <v>538.315081259555</v>
      </c>
      <c r="AF7" s="26" t="n">
        <f aca="false">T7+(($V7+$W7+$X7+$Y7)*12/19)+$AB7</f>
        <v>877.899277072643</v>
      </c>
      <c r="AG7" s="26" t="n">
        <f aca="false">U7+(($V7+$W7+$X7+$Y7)*12/19)+$AC7</f>
        <v>1926.82882332395</v>
      </c>
      <c r="AH7" s="153"/>
      <c r="AI7" s="24" t="str">
        <f aca="false">B7</f>
        <v>APS ARARANGUÁ</v>
      </c>
      <c r="AJ7" s="70" t="n">
        <f aca="false">VLOOKUP(AI7,Unidades!D$7:H$32,5,)</f>
        <v>0.2979</v>
      </c>
      <c r="AK7" s="50" t="n">
        <f aca="false">AD7*(1+$AJ7)</f>
        <v>600.73551557882</v>
      </c>
      <c r="AL7" s="50" t="n">
        <f aca="false">AE7*(1+$AJ7)</f>
        <v>698.679143966777</v>
      </c>
      <c r="AM7" s="50" t="n">
        <f aca="false">AF7*(1+$AJ7)</f>
        <v>1139.42547171258</v>
      </c>
      <c r="AN7" s="50" t="n">
        <f aca="false">AG7*(1+$AJ7)</f>
        <v>2500.83112979215</v>
      </c>
      <c r="AO7" s="50" t="n">
        <f aca="false">((AK7*12)+(AL7*4)+(AM7*2)+AN7)/12</f>
        <v>1231.93540300252</v>
      </c>
      <c r="AP7" s="50" t="n">
        <f aca="false">AO7*3</f>
        <v>3695.80620900757</v>
      </c>
      <c r="AQ7" s="50" t="n">
        <f aca="false">AO7+AP7</f>
        <v>4927.74161201009</v>
      </c>
      <c r="AR7" s="71"/>
      <c r="AS7" s="72" t="s">
        <v>82</v>
      </c>
      <c r="AT7" s="50" t="n">
        <f aca="false">AK20</f>
        <v>7129.12712171318</v>
      </c>
      <c r="AU7" s="50" t="n">
        <f aca="false">AL20</f>
        <v>8239.45047413231</v>
      </c>
      <c r="AV7" s="50" t="n">
        <f aca="false">AM20</f>
        <v>8669.30935524457</v>
      </c>
      <c r="AW7" s="50" t="n">
        <f aca="false">AN20</f>
        <v>13876.2069163159</v>
      </c>
    </row>
    <row r="8" customFormat="false" ht="15" hidden="false" customHeight="true" outlineLevel="0" collapsed="false">
      <c r="B8" s="152" t="s">
        <v>142</v>
      </c>
      <c r="C8" s="66" t="n">
        <f aca="false">VLOOKUP($B8,Unidades!$D$5:$N$32,6,FALSE())</f>
        <v>968.94</v>
      </c>
      <c r="D8" s="66" t="n">
        <f aca="false">VLOOKUP($B8,Unidades!$D$5:$N$32,7,FALSE())</f>
        <v>441.59</v>
      </c>
      <c r="E8" s="66" t="n">
        <f aca="false">VLOOKUP($B8,Unidades!$D$5:$N$32,8,FALSE())</f>
        <v>41.54</v>
      </c>
      <c r="F8" s="66" t="n">
        <f aca="false">VLOOKUP($B8,Unidades!$D$5:$N$32,9,FALSE())</f>
        <v>485.81</v>
      </c>
      <c r="G8" s="66" t="n">
        <f aca="false">D8+$E$6*E8+$F$6*F8</f>
        <v>504.71</v>
      </c>
      <c r="H8" s="67" t="n">
        <f aca="false">IF(G8&lt;750,1.5,IF(G8&lt;2000,2,3))</f>
        <v>1.5</v>
      </c>
      <c r="I8" s="67" t="n">
        <f aca="false">$I$6*H8</f>
        <v>1.8</v>
      </c>
      <c r="J8" s="67" t="str">
        <f aca="false">VLOOKUP($B8,Unidades!$D$7:$N$32,10,FALSE())</f>
        <v>NÃO</v>
      </c>
      <c r="K8" s="67" t="str">
        <f aca="false">VLOOKUP($B8,Unidades!$D$7:$N$32,11,FALSE())</f>
        <v>SIM</v>
      </c>
      <c r="L8" s="67" t="n">
        <f aca="false">$L$6*H8+(IF(J8="SIM",$J$6,0))</f>
        <v>1.65</v>
      </c>
      <c r="M8" s="67" t="n">
        <f aca="false">$M$6*H8+(IF(J8="SIM",$J$6,0))+(IF(K8="SIM",$K$6,0))</f>
        <v>5.65</v>
      </c>
      <c r="N8" s="67" t="n">
        <f aca="false">H8*12+I8*4+L8*2+M8</f>
        <v>34.15</v>
      </c>
      <c r="O8" s="68" t="n">
        <f aca="false">IF(K8="não", N8*(C$23+D$23),N8*(C$23+D$23)+(M8*+E$23))</f>
        <v>1900.7165</v>
      </c>
      <c r="P8" s="69"/>
      <c r="Q8" s="24" t="str">
        <f aca="false">B8</f>
        <v>APS BRAÇO DO NORTE</v>
      </c>
      <c r="R8" s="26" t="n">
        <f aca="false">H8*($C$23+$D$23)</f>
        <v>74.58</v>
      </c>
      <c r="S8" s="26" t="n">
        <f aca="false">I8*($C$23+$D$23)</f>
        <v>89.496</v>
      </c>
      <c r="T8" s="26" t="n">
        <f aca="false">L8*($C$23+$D$23)</f>
        <v>82.038</v>
      </c>
      <c r="U8" s="26" t="n">
        <f aca="false">IF(K8="não",M8*($C$23+$D$23),M8*(C$23+D$23+E$23))</f>
        <v>483.6965</v>
      </c>
      <c r="V8" s="26" t="n">
        <f aca="false">VLOOKUP(Q8,'Desl. Base Criciúma'!$C$5:$S$17,13,FALSE())*($C$23+$D$23+$E$23*(VLOOKUP(Q8,'Desl. Base Criciúma'!$C$5:$S$17,17,FALSE())/12))</f>
        <v>61.9352291666667</v>
      </c>
      <c r="W8" s="26" t="n">
        <f aca="false">VLOOKUP(Q8,'Desl. Base Criciúma'!$C$5:$S$17,15,FALSE())*(2+(VLOOKUP(Q8,'Desl. Base Criciúma'!$C$5:$S$17,17,FALSE())/12))</f>
        <v>0</v>
      </c>
      <c r="X8" s="26" t="n">
        <f aca="false">VLOOKUP(Q8,'Desl. Base Criciúma'!$C$5:$Q$17,14,FALSE())</f>
        <v>0</v>
      </c>
      <c r="Y8" s="26" t="n">
        <f aca="false">VLOOKUP(Q8,'Desl. Base Criciúma'!$C$5:Q$17,13,FALSE())*'Desl. Base Criciúma'!$E$22+'Desl. Base Criciúma'!$E$23*N8/12</f>
        <v>80.9020416666667</v>
      </c>
      <c r="Z8" s="26" t="n">
        <f aca="false">(H8/$AC$5)*'Equipe Técnica'!$C$13</f>
        <v>208.40682984424</v>
      </c>
      <c r="AA8" s="26" t="n">
        <f aca="false">(I8/$AC$5)*'Equipe Técnica'!$C$13</f>
        <v>250.088195813088</v>
      </c>
      <c r="AB8" s="26" t="n">
        <f aca="false">(L8/$AC$5)*'Equipe Técnica'!$C$13</f>
        <v>229.247512828664</v>
      </c>
      <c r="AC8" s="26" t="n">
        <f aca="false">(M8/$AC$5)*'Equipe Técnica'!$C$13</f>
        <v>784.999059079969</v>
      </c>
      <c r="AD8" s="26" t="n">
        <f aca="false">R8+(($V8+$W8+$X8+$Y8)*12/19)+$Z8</f>
        <v>373.199843002134</v>
      </c>
      <c r="AE8" s="26" t="n">
        <f aca="false">S8+(($V8+$W8+$X8+$Y8)*12/19)+$AA8</f>
        <v>429.797208970982</v>
      </c>
      <c r="AF8" s="26" t="n">
        <f aca="false">T8+(($V8+$W8+$X8+$Y8)*12/19)+$AB8</f>
        <v>401.498525986558</v>
      </c>
      <c r="AG8" s="26" t="n">
        <f aca="false">U8+(($V8+$W8+$X8+$Y8)*12/19)+$AC8</f>
        <v>1358.90857223786</v>
      </c>
      <c r="AH8" s="153"/>
      <c r="AI8" s="24" t="str">
        <f aca="false">B8</f>
        <v>APS BRAÇO DO NORTE</v>
      </c>
      <c r="AJ8" s="70" t="n">
        <f aca="false">VLOOKUP(AI8,Unidades!D$7:H$32,5,)</f>
        <v>0.3127</v>
      </c>
      <c r="AK8" s="50" t="n">
        <f aca="false">AD8*(1+$AJ8)</f>
        <v>489.899433908902</v>
      </c>
      <c r="AL8" s="50" t="n">
        <f aca="false">AE8*(1+$AJ8)</f>
        <v>564.194796216209</v>
      </c>
      <c r="AM8" s="50" t="n">
        <f aca="false">AF8*(1+$AJ8)</f>
        <v>527.047115062555</v>
      </c>
      <c r="AN8" s="50" t="n">
        <f aca="false">AG8*(1+$AJ8)</f>
        <v>1783.83928277664</v>
      </c>
      <c r="AO8" s="50" t="n">
        <f aca="false">((AK8*12)+(AL8*4)+(AM8*2)+AN8)/12</f>
        <v>914.458825389451</v>
      </c>
      <c r="AP8" s="50" t="n">
        <f aca="false">AO8*3</f>
        <v>2743.37647616835</v>
      </c>
      <c r="AQ8" s="50" t="n">
        <f aca="false">AO8+AP8</f>
        <v>3657.8353015578</v>
      </c>
      <c r="AR8" s="71"/>
      <c r="AS8" s="72" t="s">
        <v>84</v>
      </c>
      <c r="AT8" s="50" t="n">
        <f aca="false">AT7*12</f>
        <v>85549.5254605582</v>
      </c>
      <c r="AU8" s="50" t="n">
        <f aca="false">AU7*4</f>
        <v>32957.8018965292</v>
      </c>
      <c r="AV8" s="50" t="n">
        <f aca="false">AV7*2</f>
        <v>17338.6187104891</v>
      </c>
      <c r="AW8" s="50" t="n">
        <f aca="false">AW7</f>
        <v>13876.2069163159</v>
      </c>
    </row>
    <row r="9" customFormat="false" ht="15" hidden="false" customHeight="true" outlineLevel="0" collapsed="false">
      <c r="B9" s="152" t="s">
        <v>143</v>
      </c>
      <c r="C9" s="66" t="n">
        <f aca="false">VLOOKUP($B9,Unidades!$D$5:$N$32,6,FALSE())</f>
        <v>334.4</v>
      </c>
      <c r="D9" s="66" t="n">
        <f aca="false">VLOOKUP($B9,Unidades!$D$5:$N$32,7,FALSE())</f>
        <v>296</v>
      </c>
      <c r="E9" s="66" t="n">
        <f aca="false">VLOOKUP($B9,Unidades!$D$5:$N$32,8,FALSE())</f>
        <v>38.4</v>
      </c>
      <c r="F9" s="66" t="n">
        <f aca="false">VLOOKUP($B9,Unidades!$D$5:$N$32,9,FALSE())</f>
        <v>0</v>
      </c>
      <c r="G9" s="66" t="n">
        <f aca="false">D9+$E$6*E9+$F$6*F9</f>
        <v>309.44</v>
      </c>
      <c r="H9" s="67" t="n">
        <f aca="false">IF(G9&lt;750,1.5,IF(G9&lt;2000,2,3))</f>
        <v>1.5</v>
      </c>
      <c r="I9" s="67" t="n">
        <f aca="false">$I$6*H9</f>
        <v>1.8</v>
      </c>
      <c r="J9" s="67" t="str">
        <f aca="false">VLOOKUP($B9,Unidades!$D$7:$N$32,10,FALSE())</f>
        <v>NÃO</v>
      </c>
      <c r="K9" s="67" t="str">
        <f aca="false">VLOOKUP($B9,Unidades!$D$7:$N$32,11,FALSE())</f>
        <v>NÃO</v>
      </c>
      <c r="L9" s="67" t="n">
        <f aca="false">$L$6*H9+(IF(J9="SIM",$J$6,0))</f>
        <v>1.65</v>
      </c>
      <c r="M9" s="67" t="n">
        <f aca="false">$M$6*H9+(IF(J9="SIM",$J$6,0))+(IF(K9="SIM",$K$6,0))</f>
        <v>1.65</v>
      </c>
      <c r="N9" s="67" t="n">
        <f aca="false">H9*12+I9*4+L9*2+M9</f>
        <v>30.15</v>
      </c>
      <c r="O9" s="68" t="n">
        <f aca="false">IF(K9="não", N9*(C$23+D$23),N9*(C$23+D$23)+(M9*+E$23))</f>
        <v>1499.058</v>
      </c>
      <c r="P9" s="69"/>
      <c r="Q9" s="24" t="str">
        <f aca="false">B9</f>
        <v>APS CAPIVARI DE BAIXO</v>
      </c>
      <c r="R9" s="26" t="n">
        <f aca="false">H9*($C$23+$D$23)</f>
        <v>74.58</v>
      </c>
      <c r="S9" s="26" t="n">
        <f aca="false">I9*($C$23+$D$23)</f>
        <v>89.496</v>
      </c>
      <c r="T9" s="26" t="n">
        <f aca="false">L9*($C$23+$D$23)</f>
        <v>82.038</v>
      </c>
      <c r="U9" s="26" t="n">
        <f aca="false">IF(K9="não",M9*($C$23+$D$23),M9*(C$23+D$23+E$23))</f>
        <v>82.038</v>
      </c>
      <c r="V9" s="26" t="n">
        <f aca="false">VLOOKUP(Q9,'Desl. Base Criciúma'!$C$5:$S$17,13,FALSE())*($C$23+$D$23+$E$23*(VLOOKUP(Q9,'Desl. Base Criciúma'!$C$5:$S$17,17,FALSE())/12))</f>
        <v>51.8323194444444</v>
      </c>
      <c r="W9" s="26" t="n">
        <f aca="false">VLOOKUP(Q9,'Desl. Base Criciúma'!$C$5:$S$17,15,FALSE())*(2+(VLOOKUP(Q9,'Desl. Base Criciúma'!$C$5:$S$17,17,FALSE())/12))</f>
        <v>0</v>
      </c>
      <c r="X9" s="26" t="n">
        <f aca="false">VLOOKUP(Q9,'Desl. Base Criciúma'!$C$5:$Q$17,14,FALSE())</f>
        <v>2.5</v>
      </c>
      <c r="Y9" s="26" t="n">
        <f aca="false">VLOOKUP(Q9,'Desl. Base Criciúma'!$C$5:Q$17,13,FALSE())*'Desl. Base Criciúma'!$E$22+'Desl. Base Criciúma'!$E$23*N9/12</f>
        <v>68.614875</v>
      </c>
      <c r="Z9" s="26" t="n">
        <f aca="false">(H9/$AC$5)*'Equipe Técnica'!$C$13</f>
        <v>208.40682984424</v>
      </c>
      <c r="AA9" s="26" t="n">
        <f aca="false">(I9/$AC$5)*'Equipe Técnica'!$C$13</f>
        <v>250.088195813088</v>
      </c>
      <c r="AB9" s="26" t="n">
        <f aca="false">(L9/$AC$5)*'Equipe Técnica'!$C$13</f>
        <v>229.247512828664</v>
      </c>
      <c r="AC9" s="26" t="n">
        <f aca="false">(M9/$AC$5)*'Equipe Técnica'!$C$13</f>
        <v>229.247512828664</v>
      </c>
      <c r="AD9" s="26" t="n">
        <f aca="false">R9+(($V9+$W9+$X9+$Y9)*12/19)+$Z9</f>
        <v>360.637689493362</v>
      </c>
      <c r="AE9" s="26" t="n">
        <f aca="false">S9+(($V9+$W9+$X9+$Y9)*12/19)+$AA9</f>
        <v>417.23505546221</v>
      </c>
      <c r="AF9" s="26" t="n">
        <f aca="false">T9+(($V9+$W9+$X9+$Y9)*12/19)+$AB9</f>
        <v>388.936372477786</v>
      </c>
      <c r="AG9" s="26" t="n">
        <f aca="false">U9+(($V9+$W9+$X9+$Y9)*12/19)+$AC9</f>
        <v>388.936372477786</v>
      </c>
      <c r="AH9" s="153"/>
      <c r="AI9" s="24" t="str">
        <f aca="false">B9</f>
        <v>APS CAPIVARI DE BAIXO</v>
      </c>
      <c r="AJ9" s="70" t="n">
        <f aca="false">VLOOKUP(AI9,Unidades!D$7:H$32,5,)</f>
        <v>0.2979</v>
      </c>
      <c r="AK9" s="50" t="n">
        <f aca="false">AD9*(1+$AJ9)</f>
        <v>468.071657193435</v>
      </c>
      <c r="AL9" s="50" t="n">
        <f aca="false">AE9*(1+$AJ9)</f>
        <v>541.529378484403</v>
      </c>
      <c r="AM9" s="50" t="n">
        <f aca="false">AF9*(1+$AJ9)</f>
        <v>504.800517838919</v>
      </c>
      <c r="AN9" s="50" t="n">
        <f aca="false">AG9*(1+$AJ9)</f>
        <v>504.800517838919</v>
      </c>
      <c r="AO9" s="50" t="n">
        <f aca="false">((AK9*12)+(AL9*4)+(AM9*2)+AN9)/12</f>
        <v>774.781579481299</v>
      </c>
      <c r="AP9" s="50" t="n">
        <f aca="false">AO9*3</f>
        <v>2324.3447384439</v>
      </c>
      <c r="AQ9" s="50" t="n">
        <f aca="false">AO9+AP9</f>
        <v>3099.1263179252</v>
      </c>
      <c r="AR9" s="71"/>
      <c r="AS9" s="71"/>
      <c r="AT9" s="73"/>
      <c r="AU9" s="73"/>
      <c r="AV9" s="73"/>
      <c r="AW9" s="73"/>
    </row>
    <row r="10" customFormat="false" ht="15" hidden="false" customHeight="true" outlineLevel="0" collapsed="false">
      <c r="B10" s="152" t="s">
        <v>144</v>
      </c>
      <c r="C10" s="66" t="n">
        <f aca="false">VLOOKUP($B10,Unidades!$D$5:$N$32,6,FALSE())</f>
        <v>334.4</v>
      </c>
      <c r="D10" s="66" t="n">
        <f aca="false">VLOOKUP($B10,Unidades!$D$5:$N$32,7,FALSE())</f>
        <v>296</v>
      </c>
      <c r="E10" s="66" t="n">
        <f aca="false">VLOOKUP($B10,Unidades!$D$5:$N$32,8,FALSE())</f>
        <v>38.4</v>
      </c>
      <c r="F10" s="66" t="n">
        <f aca="false">VLOOKUP($B10,Unidades!$D$5:$N$32,9,FALSE())</f>
        <v>0</v>
      </c>
      <c r="G10" s="66" t="n">
        <f aca="false">D10+$E$6*E10+$F$6*F10</f>
        <v>309.44</v>
      </c>
      <c r="H10" s="67" t="n">
        <f aca="false">IF(G10&lt;750,1.5,IF(G10&lt;2000,2,3))</f>
        <v>1.5</v>
      </c>
      <c r="I10" s="67" t="n">
        <f aca="false">$I$6*H10</f>
        <v>1.8</v>
      </c>
      <c r="J10" s="67" t="str">
        <f aca="false">VLOOKUP($B10,Unidades!$D$7:$N$32,10,FALSE())</f>
        <v>NÃO</v>
      </c>
      <c r="K10" s="67" t="str">
        <f aca="false">VLOOKUP($B10,Unidades!$D$7:$N$32,11,FALSE())</f>
        <v>NÃO</v>
      </c>
      <c r="L10" s="67" t="n">
        <f aca="false">$L$6*H10+(IF(J10="SIM",$J$6,0))</f>
        <v>1.65</v>
      </c>
      <c r="M10" s="67" t="n">
        <f aca="false">$M$6*H10+(IF(J10="SIM",$J$6,0))+(IF(K10="SIM",$K$6,0))</f>
        <v>1.65</v>
      </c>
      <c r="N10" s="67" t="n">
        <f aca="false">H10*12+I10*4+L10*2+M10</f>
        <v>30.15</v>
      </c>
      <c r="O10" s="68" t="n">
        <f aca="false">IF(K10="não", N10*(C$23+D$23),N10*(C$23+D$23)+(M10*+E$23))</f>
        <v>1499.058</v>
      </c>
      <c r="P10" s="69"/>
      <c r="Q10" s="24" t="str">
        <f aca="false">B10</f>
        <v>APS FORQUILHINHA</v>
      </c>
      <c r="R10" s="26" t="n">
        <f aca="false">H10*($C$23+$D$23)</f>
        <v>74.58</v>
      </c>
      <c r="S10" s="26" t="n">
        <f aca="false">I10*($C$23+$D$23)</f>
        <v>89.496</v>
      </c>
      <c r="T10" s="26" t="n">
        <f aca="false">L10*($C$23+$D$23)</f>
        <v>82.038</v>
      </c>
      <c r="U10" s="26" t="n">
        <f aca="false">IF(K10="não",M10*($C$23+$D$23),M10*(C$23+D$23+E$23))</f>
        <v>82.038</v>
      </c>
      <c r="V10" s="26" t="n">
        <f aca="false">VLOOKUP(Q10,'Desl. Base Criciúma'!$C$5:$S$17,13,FALSE())*($C$23+$D$23+$E$23*(VLOOKUP(Q10,'Desl. Base Criciúma'!$C$5:$S$17,17,FALSE())/12))</f>
        <v>28.1746666666667</v>
      </c>
      <c r="W10" s="26" t="n">
        <f aca="false">VLOOKUP(Q10,'Desl. Base Criciúma'!$C$5:$S$17,15,FALSE())*(2+(VLOOKUP(Q10,'Desl. Base Criciúma'!$C$5:$S$17,17,FALSE())/12))</f>
        <v>0</v>
      </c>
      <c r="X10" s="26" t="n">
        <f aca="false">VLOOKUP(Q10,'Desl. Base Criciúma'!$C$5:$Q$17,14,FALSE())</f>
        <v>0</v>
      </c>
      <c r="Y10" s="26" t="n">
        <f aca="false">VLOOKUP(Q10,'Desl. Base Criciúma'!$C$5:Q$17,13,FALSE())*'Desl. Base Criciúma'!$E$22+'Desl. Base Criciúma'!$E$23*N10/12</f>
        <v>46.939875</v>
      </c>
      <c r="Z10" s="26" t="n">
        <f aca="false">(H10/$AC$5)*'Equipe Técnica'!$C$13</f>
        <v>208.40682984424</v>
      </c>
      <c r="AA10" s="26" t="n">
        <f aca="false">(I10/$AC$5)*'Equipe Técnica'!$C$13</f>
        <v>250.088195813088</v>
      </c>
      <c r="AB10" s="26" t="n">
        <f aca="false">(L10/$AC$5)*'Equipe Técnica'!$C$13</f>
        <v>229.247512828664</v>
      </c>
      <c r="AC10" s="26" t="n">
        <f aca="false">(M10/$AC$5)*'Equipe Técnica'!$C$13</f>
        <v>229.247512828664</v>
      </c>
      <c r="AD10" s="26" t="n">
        <f aca="false">R10+(($V10+$W10+$X10+$Y10)*12/19)+$Z10</f>
        <v>330.427593002134</v>
      </c>
      <c r="AE10" s="26" t="n">
        <f aca="false">S10+(($V10+$W10+$X10+$Y10)*12/19)+$AA10</f>
        <v>387.024958970982</v>
      </c>
      <c r="AF10" s="26" t="n">
        <f aca="false">T10+(($V10+$W10+$X10+$Y10)*12/19)+$AB10</f>
        <v>358.726275986558</v>
      </c>
      <c r="AG10" s="26" t="n">
        <f aca="false">U10+(($V10+$W10+$X10+$Y10)*12/19)+$AC10</f>
        <v>358.726275986558</v>
      </c>
      <c r="AH10" s="153"/>
      <c r="AI10" s="24" t="str">
        <f aca="false">B10</f>
        <v>APS FORQUILHINHA</v>
      </c>
      <c r="AJ10" s="70" t="n">
        <f aca="false">VLOOKUP(AI10,Unidades!D$7:H$32,5,)</f>
        <v>0.3127</v>
      </c>
      <c r="AK10" s="50" t="n">
        <f aca="false">AD10*(1+$AJ10)</f>
        <v>433.752301333902</v>
      </c>
      <c r="AL10" s="50" t="n">
        <f aca="false">AE10*(1+$AJ10)</f>
        <v>508.047663641209</v>
      </c>
      <c r="AM10" s="50" t="n">
        <f aca="false">AF10*(1+$AJ10)</f>
        <v>470.899982487555</v>
      </c>
      <c r="AN10" s="50" t="n">
        <f aca="false">AG10*(1+$AJ10)</f>
        <v>470.899982487555</v>
      </c>
      <c r="AO10" s="50" t="n">
        <f aca="false">((AK10*12)+(AL10*4)+(AM10*2)+AN10)/12</f>
        <v>720.826518169527</v>
      </c>
      <c r="AP10" s="50" t="n">
        <f aca="false">AO10*3</f>
        <v>2162.47955450858</v>
      </c>
      <c r="AQ10" s="50" t="n">
        <f aca="false">AO10+AP10</f>
        <v>2883.30607267811</v>
      </c>
      <c r="AR10" s="71"/>
      <c r="AS10" s="74" t="s">
        <v>72</v>
      </c>
      <c r="AT10" s="50" t="n">
        <f aca="false">(SUM(AT8:AW8))/12</f>
        <v>12476.846081991</v>
      </c>
      <c r="AU10" s="50"/>
      <c r="AV10" s="73"/>
      <c r="AW10" s="73"/>
    </row>
    <row r="11" customFormat="false" ht="15" hidden="false" customHeight="true" outlineLevel="0" collapsed="false">
      <c r="B11" s="152" t="s">
        <v>145</v>
      </c>
      <c r="C11" s="66" t="n">
        <f aca="false">VLOOKUP($B11,Unidades!$D$5:$N$32,6,FALSE())</f>
        <v>320.7</v>
      </c>
      <c r="D11" s="66" t="n">
        <f aca="false">VLOOKUP($B11,Unidades!$D$5:$N$32,7,FALSE())</f>
        <v>255.98</v>
      </c>
      <c r="E11" s="66" t="n">
        <f aca="false">VLOOKUP($B11,Unidades!$D$5:$N$32,8,FALSE())</f>
        <v>64.72</v>
      </c>
      <c r="F11" s="66" t="n">
        <f aca="false">VLOOKUP($B11,Unidades!$D$5:$N$32,9,FALSE())</f>
        <v>0</v>
      </c>
      <c r="G11" s="66" t="n">
        <f aca="false">D11+$E$6*E11+$F$6*F11</f>
        <v>278.632</v>
      </c>
      <c r="H11" s="67" t="n">
        <f aca="false">IF(G11&lt;750,1.5,IF(G11&lt;2000,2,3))</f>
        <v>1.5</v>
      </c>
      <c r="I11" s="67" t="n">
        <f aca="false">$I$6*H11</f>
        <v>1.8</v>
      </c>
      <c r="J11" s="67" t="str">
        <f aca="false">VLOOKUP($B11,Unidades!$D$7:$N$32,10,FALSE())</f>
        <v>NÃO</v>
      </c>
      <c r="K11" s="67" t="str">
        <f aca="false">VLOOKUP($B11,Unidades!$D$7:$N$32,11,FALSE())</f>
        <v>NÃO</v>
      </c>
      <c r="L11" s="67" t="n">
        <f aca="false">$L$6*H11+(IF(J11="SIM",$J$6,0))</f>
        <v>1.65</v>
      </c>
      <c r="M11" s="67" t="n">
        <f aca="false">$M$6*H11+(IF(J11="SIM",$J$6,0))+(IF(K11="SIM",$K$6,0))</f>
        <v>1.65</v>
      </c>
      <c r="N11" s="67" t="n">
        <f aca="false">H11*12+I11*4+L11*2+M11</f>
        <v>30.15</v>
      </c>
      <c r="O11" s="68" t="n">
        <f aca="false">IF(K11="não", N11*(C$23+D$23),N11*(C$23+D$23)+(M11*+E$23))</f>
        <v>1499.058</v>
      </c>
      <c r="P11" s="69"/>
      <c r="Q11" s="24" t="str">
        <f aca="false">B11</f>
        <v>APS IÇARA</v>
      </c>
      <c r="R11" s="26" t="n">
        <f aca="false">H11*($C$23+$D$23)</f>
        <v>74.58</v>
      </c>
      <c r="S11" s="26" t="n">
        <f aca="false">I11*($C$23+$D$23)</f>
        <v>89.496</v>
      </c>
      <c r="T11" s="26" t="n">
        <f aca="false">L11*($C$23+$D$23)</f>
        <v>82.038</v>
      </c>
      <c r="U11" s="26" t="n">
        <f aca="false">IF(K11="não",M11*($C$23+$D$23),M11*(C$23+D$23+E$23))</f>
        <v>82.038</v>
      </c>
      <c r="V11" s="26" t="n">
        <f aca="false">VLOOKUP(Q11,'Desl. Base Criciúma'!$C$5:$S$17,13,FALSE())*($C$23+$D$23+$E$23*(VLOOKUP(Q11,'Desl. Base Criciúma'!$C$5:$S$17,17,FALSE())/12))</f>
        <v>28.1746666666667</v>
      </c>
      <c r="W11" s="26" t="n">
        <f aca="false">VLOOKUP(Q11,'Desl. Base Criciúma'!$C$5:$S$17,15,FALSE())*(2+(VLOOKUP(Q11,'Desl. Base Criciúma'!$C$5:$S$17,17,FALSE())/12))</f>
        <v>0</v>
      </c>
      <c r="X11" s="26" t="n">
        <f aca="false">VLOOKUP(Q11,'Desl. Base Criciúma'!$C$5:$Q$17,14,FALSE())</f>
        <v>0</v>
      </c>
      <c r="Y11" s="26" t="n">
        <f aca="false">VLOOKUP(Q11,'Desl. Base Criciúma'!$C$5:Q$17,13,FALSE())*'Desl. Base Criciúma'!$E$22+'Desl. Base Criciúma'!$E$23*N11/12</f>
        <v>46.939875</v>
      </c>
      <c r="Z11" s="26" t="n">
        <f aca="false">(H11/$AC$5)*'Equipe Técnica'!$C$13</f>
        <v>208.40682984424</v>
      </c>
      <c r="AA11" s="26" t="n">
        <f aca="false">(I11/$AC$5)*'Equipe Técnica'!$C$13</f>
        <v>250.088195813088</v>
      </c>
      <c r="AB11" s="26" t="n">
        <f aca="false">(L11/$AC$5)*'Equipe Técnica'!$C$13</f>
        <v>229.247512828664</v>
      </c>
      <c r="AC11" s="26" t="n">
        <f aca="false">(M11/$AC$5)*'Equipe Técnica'!$C$13</f>
        <v>229.247512828664</v>
      </c>
      <c r="AD11" s="26" t="n">
        <f aca="false">R11+(($V11+$W11+$X11+$Y11)*12/19)+$Z11</f>
        <v>330.427593002134</v>
      </c>
      <c r="AE11" s="26" t="n">
        <f aca="false">S11+(($V11+$W11+$X11+$Y11)*12/19)+$AA11</f>
        <v>387.024958970982</v>
      </c>
      <c r="AF11" s="26" t="n">
        <f aca="false">T11+(($V11+$W11+$X11+$Y11)*12/19)+$AB11</f>
        <v>358.726275986558</v>
      </c>
      <c r="AG11" s="26" t="n">
        <f aca="false">U11+(($V11+$W11+$X11+$Y11)*12/19)+$AC11</f>
        <v>358.726275986558</v>
      </c>
      <c r="AH11" s="153"/>
      <c r="AI11" s="24" t="str">
        <f aca="false">B11</f>
        <v>APS IÇARA</v>
      </c>
      <c r="AJ11" s="70" t="n">
        <f aca="false">VLOOKUP(AI11,Unidades!D$7:H$32,5,)</f>
        <v>0.3278</v>
      </c>
      <c r="AK11" s="50" t="n">
        <f aca="false">AD11*(1+$AJ11)</f>
        <v>438.741757988234</v>
      </c>
      <c r="AL11" s="50" t="n">
        <f aca="false">AE11*(1+$AJ11)</f>
        <v>513.89174052167</v>
      </c>
      <c r="AM11" s="50" t="n">
        <f aca="false">AF11*(1+$AJ11)</f>
        <v>476.316749254952</v>
      </c>
      <c r="AN11" s="50" t="n">
        <f aca="false">AG11*(1+$AJ11)</f>
        <v>476.316749254952</v>
      </c>
      <c r="AO11" s="50" t="n">
        <f aca="false">((AK11*12)+(AL11*4)+(AM11*2)+AN11)/12</f>
        <v>729.118192142529</v>
      </c>
      <c r="AP11" s="50" t="n">
        <f aca="false">AO11*3</f>
        <v>2187.35457642759</v>
      </c>
      <c r="AQ11" s="50" t="n">
        <f aca="false">AO11+AP11</f>
        <v>2916.47276857012</v>
      </c>
      <c r="AR11" s="71"/>
      <c r="AS11" s="74" t="s">
        <v>88</v>
      </c>
      <c r="AT11" s="50" t="n">
        <f aca="false">AT10*12</f>
        <v>149722.152983892</v>
      </c>
      <c r="AU11" s="50"/>
      <c r="AV11" s="73"/>
      <c r="AW11" s="73"/>
    </row>
    <row r="12" customFormat="false" ht="15" hidden="false" customHeight="true" outlineLevel="0" collapsed="false">
      <c r="B12" s="152" t="s">
        <v>146</v>
      </c>
      <c r="C12" s="66" t="n">
        <f aca="false">VLOOKUP($B12,Unidades!$D$5:$N$32,6,FALSE())</f>
        <v>855.4</v>
      </c>
      <c r="D12" s="66" t="n">
        <f aca="false">VLOOKUP($B12,Unidades!$D$5:$N$32,7,FALSE())</f>
        <v>626.23</v>
      </c>
      <c r="E12" s="66" t="n">
        <f aca="false">VLOOKUP($B12,Unidades!$D$5:$N$32,8,FALSE())</f>
        <v>229.17</v>
      </c>
      <c r="F12" s="66" t="n">
        <f aca="false">VLOOKUP($B12,Unidades!$D$5:$N$32,9,FALSE())</f>
        <v>0</v>
      </c>
      <c r="G12" s="66" t="n">
        <f aca="false">D12+$E$6*E12+$F$6*F12</f>
        <v>706.4395</v>
      </c>
      <c r="H12" s="67" t="n">
        <f aca="false">IF(G12&lt;750,1.5,IF(G12&lt;2000,2,3))</f>
        <v>1.5</v>
      </c>
      <c r="I12" s="67" t="n">
        <f aca="false">$I$6*H12</f>
        <v>1.8</v>
      </c>
      <c r="J12" s="67" t="str">
        <f aca="false">VLOOKUP($B12,Unidades!$D$7:$N$32,10,FALSE())</f>
        <v>NÃO</v>
      </c>
      <c r="K12" s="67" t="str">
        <f aca="false">VLOOKUP($B12,Unidades!$D$7:$N$32,11,FALSE())</f>
        <v>NÃO</v>
      </c>
      <c r="L12" s="67" t="n">
        <f aca="false">$L$6*H12+(IF(J12="SIM",$J$6,0))</f>
        <v>1.65</v>
      </c>
      <c r="M12" s="67" t="n">
        <f aca="false">$M$6*H12+(IF(J12="SIM",$J$6,0))+(IF(K12="SIM",$K$6,0))</f>
        <v>1.65</v>
      </c>
      <c r="N12" s="67" t="n">
        <f aca="false">H12*12+I12*4+L12*2+M12</f>
        <v>30.15</v>
      </c>
      <c r="O12" s="68" t="n">
        <f aca="false">IF(K12="não", N12*(C$23+D$23),N12*(C$23+D$23)+(M12*+E$23))</f>
        <v>1499.058</v>
      </c>
      <c r="P12" s="69"/>
      <c r="Q12" s="24" t="str">
        <f aca="false">B12</f>
        <v>APS LAGUNA</v>
      </c>
      <c r="R12" s="26" t="n">
        <f aca="false">H12*($C$23+$D$23)</f>
        <v>74.58</v>
      </c>
      <c r="S12" s="26" t="n">
        <f aca="false">I12*($C$23+$D$23)</f>
        <v>89.496</v>
      </c>
      <c r="T12" s="26" t="n">
        <f aca="false">L12*($C$23+$D$23)</f>
        <v>82.038</v>
      </c>
      <c r="U12" s="26" t="n">
        <f aca="false">IF(K12="não",M12*($C$23+$D$23),M12*(C$23+D$23+E$23))</f>
        <v>82.038</v>
      </c>
      <c r="V12" s="26" t="n">
        <f aca="false">VLOOKUP(Q12,'Desl. Base Criciúma'!$C$5:$S$17,13,FALSE())*($C$23+$D$23+$E$23*(VLOOKUP(Q12,'Desl. Base Criciúma'!$C$5:$S$17,17,FALSE())/12))</f>
        <v>79.1376666666667</v>
      </c>
      <c r="W12" s="26" t="n">
        <f aca="false">VLOOKUP(Q12,'Desl. Base Criciúma'!$C$5:$S$17,15,FALSE())*(2+(VLOOKUP(Q12,'Desl. Base Criciúma'!$C$5:$S$17,17,FALSE())/12))</f>
        <v>0</v>
      </c>
      <c r="X12" s="26" t="n">
        <f aca="false">VLOOKUP(Q12,'Desl. Base Criciúma'!$C$5:$Q$17,14,FALSE())</f>
        <v>5</v>
      </c>
      <c r="Y12" s="26" t="n">
        <f aca="false">VLOOKUP(Q12,'Desl. Base Criciúma'!$C$5:Q$17,13,FALSE())*'Desl. Base Criciúma'!$E$22+'Desl. Base Criciúma'!$E$23*N12/12</f>
        <v>100.260375</v>
      </c>
      <c r="Z12" s="26" t="n">
        <f aca="false">(H12/$AC$5)*'Equipe Técnica'!$C$13</f>
        <v>208.40682984424</v>
      </c>
      <c r="AA12" s="26" t="n">
        <f aca="false">(I12/$AC$5)*'Equipe Técnica'!$C$13</f>
        <v>250.088195813088</v>
      </c>
      <c r="AB12" s="26" t="n">
        <f aca="false">(L12/$AC$5)*'Equipe Técnica'!$C$13</f>
        <v>229.247512828664</v>
      </c>
      <c r="AC12" s="26" t="n">
        <f aca="false">(M12/$AC$5)*'Equipe Técnica'!$C$13</f>
        <v>229.247512828664</v>
      </c>
      <c r="AD12" s="26" t="n">
        <f aca="false">R12+(($V12+$W12+$X12+$Y12)*12/19)+$Z12</f>
        <v>399.448750896871</v>
      </c>
      <c r="AE12" s="26" t="n">
        <f aca="false">S12+(($V12+$W12+$X12+$Y12)*12/19)+$AA12</f>
        <v>456.046116865719</v>
      </c>
      <c r="AF12" s="26" t="n">
        <f aca="false">T12+(($V12+$W12+$X12+$Y12)*12/19)+$AB12</f>
        <v>427.747433881295</v>
      </c>
      <c r="AG12" s="26" t="n">
        <f aca="false">U12+(($V12+$W12+$X12+$Y12)*12/19)+$AC12</f>
        <v>427.747433881295</v>
      </c>
      <c r="AH12" s="153"/>
      <c r="AI12" s="24" t="str">
        <f aca="false">B12</f>
        <v>APS LAGUNA</v>
      </c>
      <c r="AJ12" s="70" t="n">
        <f aca="false">VLOOKUP(AI12,Unidades!D$7:H$32,5,)</f>
        <v>0.3278</v>
      </c>
      <c r="AK12" s="50" t="n">
        <f aca="false">AD12*(1+$AJ12)</f>
        <v>530.388051440866</v>
      </c>
      <c r="AL12" s="50" t="n">
        <f aca="false">AE12*(1+$AJ12)</f>
        <v>605.538033974302</v>
      </c>
      <c r="AM12" s="50" t="n">
        <f aca="false">AF12*(1+$AJ12)</f>
        <v>567.963042707584</v>
      </c>
      <c r="AN12" s="50" t="n">
        <f aca="false">AG12*(1+$AJ12)</f>
        <v>567.963042707584</v>
      </c>
      <c r="AO12" s="50" t="n">
        <f aca="false">((AK12*12)+(AL12*4)+(AM12*2)+AN12)/12</f>
        <v>874.224823442529</v>
      </c>
      <c r="AP12" s="50" t="n">
        <f aca="false">AO12*3</f>
        <v>2622.67447032759</v>
      </c>
      <c r="AQ12" s="50" t="n">
        <f aca="false">AO12+AP12</f>
        <v>3496.89929377012</v>
      </c>
      <c r="AR12" s="71"/>
      <c r="AS12" s="74" t="s">
        <v>73</v>
      </c>
      <c r="AT12" s="50" t="n">
        <f aca="false">AT10*3</f>
        <v>37430.5382459731</v>
      </c>
      <c r="AU12" s="50"/>
      <c r="AV12" s="71"/>
      <c r="AW12" s="71"/>
    </row>
    <row r="13" customFormat="false" ht="15" hidden="false" customHeight="true" outlineLevel="0" collapsed="false">
      <c r="B13" s="152" t="s">
        <v>147</v>
      </c>
      <c r="C13" s="66" t="n">
        <f aca="false">VLOOKUP($B13,Unidades!$D$5:$N$32,6,FALSE())</f>
        <v>334.4</v>
      </c>
      <c r="D13" s="66" t="n">
        <f aca="false">VLOOKUP($B13,Unidades!$D$5:$N$32,7,FALSE())</f>
        <v>296</v>
      </c>
      <c r="E13" s="66" t="n">
        <f aca="false">VLOOKUP($B13,Unidades!$D$5:$N$32,8,FALSE())</f>
        <v>38.4</v>
      </c>
      <c r="F13" s="66" t="n">
        <f aca="false">VLOOKUP($B13,Unidades!$D$5:$N$32,9,FALSE())</f>
        <v>0</v>
      </c>
      <c r="G13" s="66" t="n">
        <f aca="false">D13+$E$6*E13+$F$6*F13</f>
        <v>309.44</v>
      </c>
      <c r="H13" s="67" t="n">
        <f aca="false">IF(G13&lt;750,1.5,IF(G13&lt;2000,2,3))</f>
        <v>1.5</v>
      </c>
      <c r="I13" s="67" t="n">
        <f aca="false">$I$6*H13</f>
        <v>1.8</v>
      </c>
      <c r="J13" s="67" t="str">
        <f aca="false">VLOOKUP($B13,Unidades!$D$7:$N$32,10,FALSE())</f>
        <v>NÃO</v>
      </c>
      <c r="K13" s="67" t="str">
        <f aca="false">VLOOKUP($B13,Unidades!$D$7:$N$32,11,FALSE())</f>
        <v>NÃO</v>
      </c>
      <c r="L13" s="67" t="n">
        <f aca="false">$L$6*H13+(IF(J13="SIM",$J$6,0))</f>
        <v>1.65</v>
      </c>
      <c r="M13" s="67" t="n">
        <f aca="false">$M$6*H13+(IF(J13="SIM",$J$6,0))+(IF(K13="SIM",$K$6,0))</f>
        <v>1.65</v>
      </c>
      <c r="N13" s="67" t="n">
        <f aca="false">H13*12+I13*4+L13*2+M13</f>
        <v>30.15</v>
      </c>
      <c r="O13" s="68" t="n">
        <f aca="false">IF(K13="não", N13*(C$23+D$23),N13*(C$23+D$23)+(M13*+E$23))</f>
        <v>1499.058</v>
      </c>
      <c r="P13" s="69"/>
      <c r="Q13" s="24" t="str">
        <f aca="false">B13</f>
        <v>APS SOMBRIO</v>
      </c>
      <c r="R13" s="26" t="n">
        <f aca="false">H13*($C$23+$D$23)</f>
        <v>74.58</v>
      </c>
      <c r="S13" s="26" t="n">
        <f aca="false">I13*($C$23+$D$23)</f>
        <v>89.496</v>
      </c>
      <c r="T13" s="26" t="n">
        <f aca="false">L13*($C$23+$D$23)</f>
        <v>82.038</v>
      </c>
      <c r="U13" s="26" t="n">
        <f aca="false">IF(K13="não",M13*($C$23+$D$23),M13*(C$23+D$23+E$23))</f>
        <v>82.038</v>
      </c>
      <c r="V13" s="26" t="n">
        <f aca="false">VLOOKUP(Q13,'Desl. Base Criciúma'!$C$5:$S$17,13,FALSE())*($C$23+$D$23+$E$23*(VLOOKUP(Q13,'Desl. Base Criciúma'!$C$5:$S$17,17,FALSE())/12))</f>
        <v>52.2715763888889</v>
      </c>
      <c r="W13" s="26" t="n">
        <f aca="false">VLOOKUP(Q13,'Desl. Base Criciúma'!$C$5:$S$17,15,FALSE())*(2+(VLOOKUP(Q13,'Desl. Base Criciúma'!$C$5:$S$17,17,FALSE())/12))</f>
        <v>0</v>
      </c>
      <c r="X13" s="26" t="n">
        <f aca="false">VLOOKUP(Q13,'Desl. Base Criciúma'!$C$5:$Q$17,14,FALSE())</f>
        <v>2.5</v>
      </c>
      <c r="Y13" s="26" t="n">
        <f aca="false">VLOOKUP(Q13,'Desl. Base Criciúma'!$C$5:Q$17,13,FALSE())*'Desl. Base Criciúma'!$E$22+'Desl. Base Criciúma'!$E$23*N13/12</f>
        <v>69.048375</v>
      </c>
      <c r="Z13" s="26" t="n">
        <f aca="false">(H13/$AC$5)*'Equipe Técnica'!$C$13</f>
        <v>208.40682984424</v>
      </c>
      <c r="AA13" s="26" t="n">
        <f aca="false">(I13/$AC$5)*'Equipe Técnica'!$C$13</f>
        <v>250.088195813088</v>
      </c>
      <c r="AB13" s="26" t="n">
        <f aca="false">(L13/$AC$5)*'Equipe Técnica'!$C$13</f>
        <v>229.247512828664</v>
      </c>
      <c r="AC13" s="26" t="n">
        <f aca="false">(M13/$AC$5)*'Equipe Técnica'!$C$13</f>
        <v>229.247512828664</v>
      </c>
      <c r="AD13" s="26" t="n">
        <f aca="false">R13+(($V13+$W13+$X13+$Y13)*12/19)+$Z13</f>
        <v>361.188904405643</v>
      </c>
      <c r="AE13" s="26" t="n">
        <f aca="false">S13+(($V13+$W13+$X13+$Y13)*12/19)+$AA13</f>
        <v>417.786270374491</v>
      </c>
      <c r="AF13" s="26" t="n">
        <f aca="false">T13+(($V13+$W13+$X13+$Y13)*12/19)+$AB13</f>
        <v>389.487587390067</v>
      </c>
      <c r="AG13" s="26" t="n">
        <f aca="false">U13+(($V13+$W13+$X13+$Y13)*12/19)+$AC13</f>
        <v>389.487587390067</v>
      </c>
      <c r="AH13" s="153"/>
      <c r="AI13" s="24" t="str">
        <f aca="false">B13</f>
        <v>APS SOMBRIO</v>
      </c>
      <c r="AJ13" s="70" t="n">
        <f aca="false">VLOOKUP(AI13,Unidades!D$7:H$32,5,)</f>
        <v>0.2979</v>
      </c>
      <c r="AK13" s="50" t="n">
        <f aca="false">AD13*(1+$AJ13)</f>
        <v>468.787079028084</v>
      </c>
      <c r="AL13" s="50" t="n">
        <f aca="false">AE13*(1+$AJ13)</f>
        <v>542.244800319052</v>
      </c>
      <c r="AM13" s="50" t="n">
        <f aca="false">AF13*(1+$AJ13)</f>
        <v>505.515939673568</v>
      </c>
      <c r="AN13" s="50" t="n">
        <f aca="false">AG13*(1+$AJ13)</f>
        <v>505.515939673568</v>
      </c>
      <c r="AO13" s="50" t="n">
        <f aca="false">((AK13*12)+(AL13*4)+(AM13*2)+AN13)/12</f>
        <v>775.914330719494</v>
      </c>
      <c r="AP13" s="50" t="n">
        <f aca="false">AO13*3</f>
        <v>2327.74299215848</v>
      </c>
      <c r="AQ13" s="50" t="n">
        <f aca="false">AO13+AP13</f>
        <v>3103.65732287797</v>
      </c>
      <c r="AR13" s="71"/>
      <c r="AS13" s="74" t="s">
        <v>91</v>
      </c>
      <c r="AT13" s="50" t="n">
        <f aca="false">AT12*12</f>
        <v>449166.458951677</v>
      </c>
      <c r="AU13" s="50"/>
      <c r="AV13" s="73"/>
      <c r="AW13" s="73"/>
    </row>
    <row r="14" customFormat="false" ht="15" hidden="false" customHeight="true" outlineLevel="0" collapsed="false">
      <c r="B14" s="152" t="s">
        <v>148</v>
      </c>
      <c r="C14" s="66" t="n">
        <f aca="false">VLOOKUP($B14,Unidades!$D$5:$N$32,6,FALSE())</f>
        <v>3534</v>
      </c>
      <c r="D14" s="66" t="n">
        <f aca="false">VLOOKUP($B14,Unidades!$D$5:$N$32,7,FALSE())</f>
        <v>1583.57</v>
      </c>
      <c r="E14" s="66" t="n">
        <f aca="false">VLOOKUP($B14,Unidades!$D$5:$N$32,8,FALSE())</f>
        <v>673.64</v>
      </c>
      <c r="F14" s="66" t="n">
        <f aca="false">VLOOKUP($B14,Unidades!$D$5:$N$32,9,FALSE())</f>
        <v>1276.79</v>
      </c>
      <c r="G14" s="66" t="n">
        <f aca="false">D14+$E$6*E14+$F$6*F14</f>
        <v>1947.023</v>
      </c>
      <c r="H14" s="67" t="n">
        <f aca="false">IF(G14&lt;750,1.5,IF(G14&lt;2000,2,3))</f>
        <v>2</v>
      </c>
      <c r="I14" s="67" t="n">
        <f aca="false">$I$6*H14</f>
        <v>2.4</v>
      </c>
      <c r="J14" s="67" t="str">
        <f aca="false">VLOOKUP($B14,Unidades!$D$7:$N$32,10,FALSE())</f>
        <v>NÃO</v>
      </c>
      <c r="K14" s="67" t="str">
        <f aca="false">VLOOKUP($B14,Unidades!$D$7:$N$32,11,FALSE())</f>
        <v>SIM</v>
      </c>
      <c r="L14" s="67" t="n">
        <f aca="false">$L$6*H14+(IF(J14="SIM",$J$6,0))</f>
        <v>2.2</v>
      </c>
      <c r="M14" s="67" t="n">
        <f aca="false">$M$6*H14+(IF(J14="SIM",$J$6,0))+(IF(K14="SIM",$K$6,0))</f>
        <v>6.2</v>
      </c>
      <c r="N14" s="67" t="n">
        <f aca="false">H14*12+I14*4+L14*2+M14</f>
        <v>44.2</v>
      </c>
      <c r="O14" s="68" t="n">
        <f aca="false">IF(K14="não", N14*(C$23+D$23),N14*(C$23+D$23)+(M14*+E$23))</f>
        <v>2420.142</v>
      </c>
      <c r="P14" s="69"/>
      <c r="Q14" s="24" t="str">
        <f aca="false">B14</f>
        <v>APS TUBARÃO</v>
      </c>
      <c r="R14" s="26" t="n">
        <f aca="false">H14*($C$23+$D$23)</f>
        <v>99.44</v>
      </c>
      <c r="S14" s="26" t="n">
        <f aca="false">I14*($C$23+$D$23)</f>
        <v>119.328</v>
      </c>
      <c r="T14" s="26" t="n">
        <f aca="false">L14*($C$23+$D$23)</f>
        <v>109.384</v>
      </c>
      <c r="U14" s="26" t="n">
        <f aca="false">IF(K14="não",M14*($C$23+$D$23),M14*(C$23+D$23+E$23))</f>
        <v>530.782</v>
      </c>
      <c r="V14" s="26" t="n">
        <f aca="false">VLOOKUP(Q14,'Desl. Base Criciúma'!$C$5:$S$17,13,FALSE())*($C$23+$D$23+$E$23*(VLOOKUP(Q14,'Desl. Base Criciúma'!$C$5:$S$17,17,FALSE())/12))</f>
        <v>51.8323194444444</v>
      </c>
      <c r="W14" s="26" t="n">
        <f aca="false">VLOOKUP(Q14,'Desl. Base Criciúma'!$C$5:$S$17,15,FALSE())*(2+(VLOOKUP(Q14,'Desl. Base Criciúma'!$C$5:$S$17,17,FALSE())/12))</f>
        <v>0</v>
      </c>
      <c r="X14" s="26" t="n">
        <f aca="false">VLOOKUP(Q14,'Desl. Base Criciúma'!$C$5:$Q$17,14,FALSE())</f>
        <v>2.5</v>
      </c>
      <c r="Y14" s="26" t="n">
        <f aca="false">VLOOKUP(Q14,'Desl. Base Criciúma'!$C$5:Q$17,13,FALSE())*'Desl. Base Criciúma'!$E$22+'Desl. Base Criciúma'!$E$23*N14/12</f>
        <v>76.7521666666667</v>
      </c>
      <c r="Z14" s="26" t="n">
        <f aca="false">(H14/$AC$5)*'Equipe Técnica'!$C$13</f>
        <v>277.875773125653</v>
      </c>
      <c r="AA14" s="26" t="n">
        <f aca="false">(I14/$AC$5)*'Equipe Técnica'!$C$13</f>
        <v>333.450927750783</v>
      </c>
      <c r="AB14" s="26" t="n">
        <f aca="false">(L14/$AC$5)*'Equipe Técnica'!$C$13</f>
        <v>305.663350438218</v>
      </c>
      <c r="AC14" s="26" t="n">
        <f aca="false">(M14/$AC$5)*'Equipe Técnica'!$C$13</f>
        <v>861.414896689524</v>
      </c>
      <c r="AD14" s="26" t="n">
        <f aca="false">R14+(($V14+$W14+$X14+$Y14)*12/19)+$Z14</f>
        <v>460.105974880039</v>
      </c>
      <c r="AE14" s="26" t="n">
        <f aca="false">S14+(($V14+$W14+$X14+$Y14)*12/19)+$AA14</f>
        <v>535.569129505169</v>
      </c>
      <c r="AF14" s="26" t="n">
        <f aca="false">T14+(($V14+$W14+$X14+$Y14)*12/19)+$AB14</f>
        <v>497.837552192604</v>
      </c>
      <c r="AG14" s="26" t="n">
        <f aca="false">U14+(($V14+$W14+$X14+$Y14)*12/19)+$AC14</f>
        <v>1474.98709844391</v>
      </c>
      <c r="AH14" s="153"/>
      <c r="AI14" s="24" t="str">
        <f aca="false">B14</f>
        <v>APS TUBARÃO</v>
      </c>
      <c r="AJ14" s="70" t="n">
        <f aca="false">VLOOKUP(AI14,Unidades!D$7:H$32,5,)</f>
        <v>0.2835</v>
      </c>
      <c r="AK14" s="50" t="n">
        <f aca="false">AD14*(1+$AJ14)</f>
        <v>590.54601875853</v>
      </c>
      <c r="AL14" s="50" t="n">
        <f aca="false">AE14*(1+$AJ14)</f>
        <v>687.402977719885</v>
      </c>
      <c r="AM14" s="50" t="n">
        <f aca="false">AF14*(1+$AJ14)</f>
        <v>638.974498239207</v>
      </c>
      <c r="AN14" s="50" t="n">
        <f aca="false">AG14*(1+$AJ14)</f>
        <v>1893.14594085276</v>
      </c>
      <c r="AO14" s="50" t="n">
        <f aca="false">((AK14*12)+(AL14*4)+(AM14*2)+AN14)/12</f>
        <v>1083.93825610942</v>
      </c>
      <c r="AP14" s="50" t="n">
        <f aca="false">AO14*3</f>
        <v>3251.81476832827</v>
      </c>
      <c r="AQ14" s="50" t="n">
        <f aca="false">AO14+AP14</f>
        <v>4335.75302443769</v>
      </c>
      <c r="AR14" s="71"/>
      <c r="AS14" s="74" t="s">
        <v>93</v>
      </c>
      <c r="AT14" s="50" t="n">
        <f aca="false">AT10+AT12</f>
        <v>49907.3843279641</v>
      </c>
      <c r="AU14" s="50"/>
      <c r="AV14" s="73"/>
      <c r="AW14" s="73"/>
    </row>
    <row r="15" customFormat="false" ht="15" hidden="false" customHeight="true" outlineLevel="0" collapsed="false">
      <c r="B15" s="152" t="s">
        <v>149</v>
      </c>
      <c r="C15" s="66" t="n">
        <f aca="false">VLOOKUP($B15,Unidades!$D$5:$N$32,6,FALSE())</f>
        <v>448.68</v>
      </c>
      <c r="D15" s="66" t="n">
        <f aca="false">VLOOKUP($B15,Unidades!$D$5:$N$32,7,FALSE())</f>
        <v>341.03</v>
      </c>
      <c r="E15" s="66" t="n">
        <f aca="false">VLOOKUP($B15,Unidades!$D$5:$N$32,8,FALSE())</f>
        <v>107.65</v>
      </c>
      <c r="F15" s="66" t="n">
        <f aca="false">VLOOKUP($B15,Unidades!$D$5:$N$32,9,FALSE())</f>
        <v>0</v>
      </c>
      <c r="G15" s="66" t="n">
        <f aca="false">D15+$E$6*E15+$F$6*F15</f>
        <v>378.7075</v>
      </c>
      <c r="H15" s="67" t="n">
        <f aca="false">IF(G15&lt;750,1.5,IF(G15&lt;2000,2,3))</f>
        <v>1.5</v>
      </c>
      <c r="I15" s="67" t="n">
        <f aca="false">$I$6*H15</f>
        <v>1.8</v>
      </c>
      <c r="J15" s="67" t="str">
        <f aca="false">VLOOKUP($B15,Unidades!$D$7:$N$32,10,FALSE())</f>
        <v>NÃO</v>
      </c>
      <c r="K15" s="67" t="str">
        <f aca="false">VLOOKUP($B15,Unidades!$D$7:$N$32,11,FALSE())</f>
        <v>NÃO</v>
      </c>
      <c r="L15" s="67" t="n">
        <f aca="false">$L$6*H15+(IF(J15="SIM",$J$6,0))</f>
        <v>1.65</v>
      </c>
      <c r="M15" s="67" t="n">
        <f aca="false">$M$6*H15+(IF(J15="SIM",$J$6,0))+(IF(K15="SIM",$K$6,0))</f>
        <v>1.65</v>
      </c>
      <c r="N15" s="67" t="n">
        <f aca="false">H15*12+I15*4+L15*2+M15</f>
        <v>30.15</v>
      </c>
      <c r="O15" s="68" t="n">
        <f aca="false">IF(K15="não", N15*(C$23+D$23),N15*(C$23+D$23)+(M15*+E$23))</f>
        <v>1499.058</v>
      </c>
      <c r="P15" s="69"/>
      <c r="Q15" s="24" t="str">
        <f aca="false">B15</f>
        <v>APS URUSSANGA</v>
      </c>
      <c r="R15" s="26" t="n">
        <f aca="false">H15*($C$23+$D$23)</f>
        <v>74.58</v>
      </c>
      <c r="S15" s="26" t="n">
        <f aca="false">I15*($C$23+$D$23)</f>
        <v>89.496</v>
      </c>
      <c r="T15" s="26" t="n">
        <f aca="false">L15*($C$23+$D$23)</f>
        <v>82.038</v>
      </c>
      <c r="U15" s="26" t="n">
        <f aca="false">IF(K15="não",M15*($C$23+$D$23),M15*(C$23+D$23+E$23))</f>
        <v>82.038</v>
      </c>
      <c r="V15" s="26" t="n">
        <f aca="false">VLOOKUP(Q15,'Desl. Base Criciúma'!$C$5:$S$17,13,FALSE())*($C$23+$D$23+$E$23*(VLOOKUP(Q15,'Desl. Base Criciúma'!$C$5:$S$17,17,FALSE())/12))</f>
        <v>61.9352291666667</v>
      </c>
      <c r="W15" s="26" t="n">
        <f aca="false">VLOOKUP(Q15,'Desl. Base Criciúma'!$C$5:$S$17,15,FALSE())*(2+(VLOOKUP(Q15,'Desl. Base Criciúma'!$C$5:$S$17,17,FALSE())/12))</f>
        <v>0</v>
      </c>
      <c r="X15" s="26" t="n">
        <f aca="false">VLOOKUP(Q15,'Desl. Base Criciúma'!$C$5:$Q$17,14,FALSE())</f>
        <v>0</v>
      </c>
      <c r="Y15" s="26" t="n">
        <f aca="false">VLOOKUP(Q15,'Desl. Base Criciúma'!$C$5:Q$17,13,FALSE())*'Desl. Base Criciúma'!$E$22+'Desl. Base Criciúma'!$E$23*N15/12</f>
        <v>78.585375</v>
      </c>
      <c r="Z15" s="26" t="n">
        <f aca="false">(H15/$AC$5)*'Equipe Técnica'!$C$13</f>
        <v>208.40682984424</v>
      </c>
      <c r="AA15" s="26" t="n">
        <f aca="false">(I15/$AC$5)*'Equipe Técnica'!$C$13</f>
        <v>250.088195813088</v>
      </c>
      <c r="AB15" s="26" t="n">
        <f aca="false">(L15/$AC$5)*'Equipe Técnica'!$C$13</f>
        <v>229.247512828664</v>
      </c>
      <c r="AC15" s="26" t="n">
        <f aca="false">(M15/$AC$5)*'Equipe Técnica'!$C$13</f>
        <v>229.247512828664</v>
      </c>
      <c r="AD15" s="26" t="n">
        <f aca="false">R15+(($V15+$W15+$X15+$Y15)*12/19)+$Z15</f>
        <v>371.736685107398</v>
      </c>
      <c r="AE15" s="26" t="n">
        <f aca="false">S15+(($V15+$W15+$X15+$Y15)*12/19)+$AA15</f>
        <v>428.334051076246</v>
      </c>
      <c r="AF15" s="26" t="n">
        <f aca="false">T15+(($V15+$W15+$X15+$Y15)*12/19)+$AB15</f>
        <v>400.035368091822</v>
      </c>
      <c r="AG15" s="26" t="n">
        <f aca="false">U15+(($V15+$W15+$X15+$Y15)*12/19)+$AC15</f>
        <v>400.035368091822</v>
      </c>
      <c r="AH15" s="153"/>
      <c r="AI15" s="24" t="str">
        <f aca="false">B15</f>
        <v>APS URUSSANGA</v>
      </c>
      <c r="AJ15" s="70" t="n">
        <f aca="false">VLOOKUP(AI15,Unidades!D$7:H$32,5,)</f>
        <v>0.2979</v>
      </c>
      <c r="AK15" s="50" t="n">
        <f aca="false">AD15*(1+$AJ15)</f>
        <v>482.477043600891</v>
      </c>
      <c r="AL15" s="50" t="n">
        <f aca="false">AE15*(1+$AJ15)</f>
        <v>555.934764891859</v>
      </c>
      <c r="AM15" s="50" t="n">
        <f aca="false">AF15*(1+$AJ15)</f>
        <v>519.205904246375</v>
      </c>
      <c r="AN15" s="50" t="n">
        <f aca="false">AG15*(1+$AJ15)</f>
        <v>519.205904246375</v>
      </c>
      <c r="AO15" s="50" t="n">
        <f aca="false">((AK15*12)+(AL15*4)+(AM15*2)+AN15)/12</f>
        <v>797.590107959771</v>
      </c>
      <c r="AP15" s="50" t="n">
        <f aca="false">AO15*3</f>
        <v>2392.77032387931</v>
      </c>
      <c r="AQ15" s="50" t="n">
        <f aca="false">AO15+AP15</f>
        <v>3190.36043183909</v>
      </c>
      <c r="AR15" s="71"/>
      <c r="AS15" s="74" t="s">
        <v>95</v>
      </c>
      <c r="AT15" s="50" t="n">
        <f aca="false">AT11+AT13</f>
        <v>598888.61193557</v>
      </c>
      <c r="AU15" s="50"/>
      <c r="AV15" s="71"/>
      <c r="AW15" s="71"/>
    </row>
    <row r="16" customFormat="false" ht="15" hidden="false" customHeight="true" outlineLevel="0" collapsed="false">
      <c r="B16" s="152" t="s">
        <v>150</v>
      </c>
      <c r="C16" s="66" t="n">
        <f aca="false">VLOOKUP($B16,Unidades!$D$5:$N$32,6,FALSE())</f>
        <v>2017.43</v>
      </c>
      <c r="D16" s="66" t="n">
        <f aca="false">VLOOKUP($B16,Unidades!$D$5:$N$32,7,FALSE())</f>
        <v>205.51</v>
      </c>
      <c r="E16" s="66" t="n">
        <f aca="false">VLOOKUP($B16,Unidades!$D$5:$N$32,8,FALSE())</f>
        <v>1811.92</v>
      </c>
      <c r="F16" s="66" t="n">
        <f aca="false">VLOOKUP($B16,Unidades!$D$5:$N$32,9,FALSE())</f>
        <v>0</v>
      </c>
      <c r="G16" s="66" t="n">
        <f aca="false">D16+$E$6*E16+$F$6*F16</f>
        <v>839.682</v>
      </c>
      <c r="H16" s="67" t="n">
        <f aca="false">IF(G16&lt;750,1.5,IF(G16&lt;2000,2,3))</f>
        <v>2</v>
      </c>
      <c r="I16" s="67" t="n">
        <f aca="false">$I$6*H16</f>
        <v>2.4</v>
      </c>
      <c r="J16" s="67" t="str">
        <f aca="false">VLOOKUP($B16,Unidades!$D$7:$N$32,10,FALSE())</f>
        <v>SIM</v>
      </c>
      <c r="K16" s="67" t="str">
        <f aca="false">VLOOKUP($B16,Unidades!$D$7:$N$32,11,FALSE())</f>
        <v>NÃO</v>
      </c>
      <c r="L16" s="67" t="n">
        <f aca="false">$L$6*H16+(IF(J16="SIM",$J$6,0))</f>
        <v>4.2</v>
      </c>
      <c r="M16" s="67" t="n">
        <f aca="false">$M$6*H16+(IF(J16="SIM",$J$6,0))+(IF(K16="SIM",$K$6,0))</f>
        <v>4.2</v>
      </c>
      <c r="N16" s="67" t="n">
        <f aca="false">H16*12+I16*4+L16*2+M16</f>
        <v>46.2</v>
      </c>
      <c r="O16" s="68" t="n">
        <f aca="false">IF(K16="não", N16*(C$23+D$23),N16*(C$23+D$23)+(M16*+E$23))</f>
        <v>2297.064</v>
      </c>
      <c r="P16" s="69"/>
      <c r="Q16" s="24" t="str">
        <f aca="false">B16</f>
        <v>CEDOCPREV CRICIÚMA</v>
      </c>
      <c r="R16" s="26" t="n">
        <f aca="false">H16*($C$23+$D$23)</f>
        <v>99.44</v>
      </c>
      <c r="S16" s="26" t="n">
        <f aca="false">I16*($C$23+$D$23)</f>
        <v>119.328</v>
      </c>
      <c r="T16" s="26" t="n">
        <f aca="false">L16*($C$23+$D$23)</f>
        <v>208.824</v>
      </c>
      <c r="U16" s="26" t="n">
        <f aca="false">IF(K16="não",M16*($C$23+$D$23),M16*(C$23+D$23+E$23))</f>
        <v>208.824</v>
      </c>
      <c r="V16" s="26" t="n">
        <f aca="false">VLOOKUP(Q16,'Desl. Base Criciúma'!$C$5:$S$17,13,FALSE())*($C$23+$D$23+$E$23*(VLOOKUP(Q16,'Desl. Base Criciúma'!$C$5:$S$17,17,FALSE())/12))</f>
        <v>9.66365277777778</v>
      </c>
      <c r="W16" s="26" t="n">
        <f aca="false">VLOOKUP(Q16,'Desl. Base Criciúma'!$C$5:$S$17,15,FALSE())*(2+(VLOOKUP(Q16,'Desl. Base Criciúma'!$C$5:$S$17,17,FALSE())/12))</f>
        <v>0</v>
      </c>
      <c r="X16" s="26" t="n">
        <f aca="false">VLOOKUP(Q16,'Desl. Base Criciúma'!$C$5:$Q$17,14,FALSE())</f>
        <v>0</v>
      </c>
      <c r="Y16" s="26" t="n">
        <f aca="false">VLOOKUP(Q16,'Desl. Base Criciúma'!$C$5:Q$17,13,FALSE())*'Desl. Base Criciúma'!$E$22+'Desl. Base Criciúma'!$E$23*N16/12</f>
        <v>36.2945</v>
      </c>
      <c r="Z16" s="26" t="n">
        <f aca="false">(H16/$AC$5)*'Equipe Técnica'!$C$13</f>
        <v>277.875773125653</v>
      </c>
      <c r="AA16" s="26" t="n">
        <f aca="false">(I16/$AC$5)*'Equipe Técnica'!$C$13</f>
        <v>333.450927750783</v>
      </c>
      <c r="AB16" s="26" t="n">
        <f aca="false">(L16/$AC$5)*'Equipe Técnica'!$C$13</f>
        <v>583.539123563871</v>
      </c>
      <c r="AC16" s="26" t="n">
        <f aca="false">(M16/$AC$5)*'Equipe Técnica'!$C$13</f>
        <v>583.539123563871</v>
      </c>
      <c r="AD16" s="26" t="n">
        <f aca="false">R16+(($V16+$W16+$X16+$Y16)*12/19)+$Z16</f>
        <v>406.341974880039</v>
      </c>
      <c r="AE16" s="26" t="n">
        <f aca="false">S16+(($V16+$W16+$X16+$Y16)*12/19)+$AA16</f>
        <v>481.805129505169</v>
      </c>
      <c r="AF16" s="26" t="n">
        <f aca="false">T16+(($V16+$W16+$X16+$Y16)*12/19)+$AB16</f>
        <v>821.389325318257</v>
      </c>
      <c r="AG16" s="26" t="n">
        <f aca="false">U16+(($V16+$W16+$X16+$Y16)*12/19)+$AC16</f>
        <v>821.389325318257</v>
      </c>
      <c r="AH16" s="153"/>
      <c r="AI16" s="24" t="str">
        <f aca="false">B16</f>
        <v>CEDOCPREV CRICIÚMA</v>
      </c>
      <c r="AJ16" s="70" t="n">
        <f aca="false">VLOOKUP(AI16,Unidades!D$7:H$32,5,)</f>
        <v>0.3127</v>
      </c>
      <c r="AK16" s="50" t="n">
        <f aca="false">AD16*(1+$AJ16)</f>
        <v>533.405110425027</v>
      </c>
      <c r="AL16" s="50" t="n">
        <f aca="false">AE16*(1+$AJ16)</f>
        <v>632.465593501436</v>
      </c>
      <c r="AM16" s="50" t="n">
        <f aca="false">AF16*(1+$AJ16)</f>
        <v>1078.23776734528</v>
      </c>
      <c r="AN16" s="50" t="n">
        <f aca="false">AG16*(1+$AJ16)</f>
        <v>1078.23776734528</v>
      </c>
      <c r="AO16" s="50" t="n">
        <f aca="false">((AK16*12)+(AL16*4)+(AM16*2)+AN16)/12</f>
        <v>1013.78641676182</v>
      </c>
      <c r="AP16" s="50" t="n">
        <f aca="false">AO16*3</f>
        <v>3041.35925028547</v>
      </c>
      <c r="AQ16" s="50" t="n">
        <f aca="false">AO16+AP16</f>
        <v>4055.1456670473</v>
      </c>
      <c r="AR16" s="71"/>
      <c r="AS16" s="71"/>
      <c r="AT16" s="71"/>
      <c r="AU16" s="71"/>
      <c r="AV16" s="71"/>
      <c r="AW16" s="71"/>
    </row>
    <row r="17" customFormat="false" ht="15" hidden="false" customHeight="true" outlineLevel="0" collapsed="false">
      <c r="B17" s="152" t="s">
        <v>151</v>
      </c>
      <c r="C17" s="66" t="n">
        <f aca="false">VLOOKUP($B17,Unidades!$D$5:$N$32,6,FALSE())</f>
        <v>3365.38</v>
      </c>
      <c r="D17" s="66" t="n">
        <f aca="false">VLOOKUP($B17,Unidades!$D$5:$N$32,7,FALSE())</f>
        <v>2625.54</v>
      </c>
      <c r="E17" s="66" t="n">
        <f aca="false">VLOOKUP($B17,Unidades!$D$5:$N$32,8,FALSE())</f>
        <v>739.84</v>
      </c>
      <c r="F17" s="66" t="n">
        <f aca="false">VLOOKUP($B17,Unidades!$D$5:$N$32,9,FALSE())</f>
        <v>0</v>
      </c>
      <c r="G17" s="66" t="n">
        <f aca="false">D17+$E$6*E17+$F$6*F17</f>
        <v>2884.484</v>
      </c>
      <c r="H17" s="67" t="n">
        <f aca="false">IF(G17&lt;750,1.5,IF(G17&lt;2000,2,3))</f>
        <v>3</v>
      </c>
      <c r="I17" s="67" t="n">
        <f aca="false">$I$6*H17</f>
        <v>3.6</v>
      </c>
      <c r="J17" s="67" t="str">
        <f aca="false">VLOOKUP($B17,Unidades!$D$7:$N$32,10,FALSE())</f>
        <v>NÃO</v>
      </c>
      <c r="K17" s="67" t="str">
        <f aca="false">VLOOKUP($B17,Unidades!$D$7:$N$32,11,FALSE())</f>
        <v>SIM</v>
      </c>
      <c r="L17" s="67" t="n">
        <f aca="false">$L$6*H17+(IF(J17="SIM",$J$6,0))</f>
        <v>3.3</v>
      </c>
      <c r="M17" s="67" t="n">
        <f aca="false">$M$6*H17+(IF(J17="SIM",$J$6,0))+(IF(K17="SIM",$K$6,0))</f>
        <v>7.3</v>
      </c>
      <c r="N17" s="67" t="n">
        <f aca="false">H17*12+I17*4+L17*2+M17</f>
        <v>64.3</v>
      </c>
      <c r="O17" s="68" t="n">
        <f aca="false">IF(K17="não", N17*(C$23+D$23),N17*(C$23+D$23)+(M17*+E$23))</f>
        <v>3458.993</v>
      </c>
      <c r="P17" s="69"/>
      <c r="Q17" s="24" t="str">
        <f aca="false">B17</f>
        <v>GEX/APS CRICIÚMA</v>
      </c>
      <c r="R17" s="26" t="n">
        <f aca="false">H17*($C$23+$D$23)</f>
        <v>149.16</v>
      </c>
      <c r="S17" s="26" t="n">
        <f aca="false">I17*($C$23+$D$23)</f>
        <v>178.992</v>
      </c>
      <c r="T17" s="26" t="n">
        <f aca="false">L17*($C$23+$D$23)</f>
        <v>164.076</v>
      </c>
      <c r="U17" s="26" t="n">
        <f aca="false">IF(K17="não",M17*($C$23+$D$23),M17*(C$23+D$23+E$23))</f>
        <v>624.953</v>
      </c>
      <c r="V17" s="26" t="n">
        <f aca="false">VLOOKUP(Q17,'Desl. Base Criciúma'!$C$5:$S$17,13,FALSE())*($C$23+$D$23+$E$23*(VLOOKUP(Q17,'Desl. Base Criciúma'!$C$5:$S$17,17,FALSE())/12))</f>
        <v>9.66365277777778</v>
      </c>
      <c r="W17" s="26" t="n">
        <f aca="false">VLOOKUP(Q17,'Desl. Base Criciúma'!$C$5:$S$17,15,FALSE())*(2+(VLOOKUP(Q17,'Desl. Base Criciúma'!$C$5:$S$17,17,FALSE())/12))</f>
        <v>0</v>
      </c>
      <c r="X17" s="26" t="n">
        <f aca="false">VLOOKUP(Q17,'Desl. Base Criciúma'!$C$5:$Q$17,14,FALSE())</f>
        <v>0</v>
      </c>
      <c r="Y17" s="26" t="n">
        <f aca="false">VLOOKUP(Q17,'Desl. Base Criciúma'!$C$5:Q$17,13,FALSE())*'Desl. Base Criciúma'!$E$22+'Desl. Base Criciúma'!$E$23*N17/12</f>
        <v>46.7774166666667</v>
      </c>
      <c r="Z17" s="26" t="n">
        <f aca="false">(H17/$AC$5)*'Equipe Técnica'!$C$13</f>
        <v>416.813659688479</v>
      </c>
      <c r="AA17" s="26" t="n">
        <f aca="false">(I17/$AC$5)*'Equipe Técnica'!$C$13</f>
        <v>500.176391626175</v>
      </c>
      <c r="AB17" s="26" t="n">
        <f aca="false">(L17/$AC$5)*'Equipe Técnica'!$C$13</f>
        <v>458.495025657327</v>
      </c>
      <c r="AC17" s="26" t="n">
        <f aca="false">(M17/$AC$5)*'Equipe Técnica'!$C$13</f>
        <v>1014.24657190863</v>
      </c>
      <c r="AD17" s="26" t="n">
        <f aca="false">R17+(($V17+$W17+$X17+$Y17)*12/19)+$Z17</f>
        <v>601.620650916549</v>
      </c>
      <c r="AE17" s="26" t="n">
        <f aca="false">S17+(($V17+$W17+$X17+$Y17)*12/19)+$AA17</f>
        <v>714.815382854245</v>
      </c>
      <c r="AF17" s="26" t="n">
        <f aca="false">T17+(($V17+$W17+$X17+$Y17)*12/19)+$AB17</f>
        <v>658.218016885397</v>
      </c>
      <c r="AG17" s="26" t="n">
        <f aca="false">U17+(($V17+$W17+$X17+$Y17)*12/19)+$AC17</f>
        <v>1674.8465631367</v>
      </c>
      <c r="AH17" s="153"/>
      <c r="AI17" s="24" t="str">
        <f aca="false">B17</f>
        <v>GEX/APS CRICIÚMA</v>
      </c>
      <c r="AJ17" s="70" t="n">
        <f aca="false">VLOOKUP(AI17,Unidades!D$7:H$32,5,)</f>
        <v>0.3127</v>
      </c>
      <c r="AK17" s="50" t="n">
        <f aca="false">AD17*(1+$AJ17)</f>
        <v>789.747428458154</v>
      </c>
      <c r="AL17" s="50" t="n">
        <f aca="false">AE17*(1+$AJ17)</f>
        <v>938.338153072768</v>
      </c>
      <c r="AM17" s="50" t="n">
        <f aca="false">AF17*(1+$AJ17)</f>
        <v>864.042790765461</v>
      </c>
      <c r="AN17" s="50" t="n">
        <f aca="false">AG17*(1+$AJ17)</f>
        <v>2198.57108342955</v>
      </c>
      <c r="AO17" s="50" t="n">
        <f aca="false">((AK17*12)+(AL17*4)+(AM17*2)+AN17)/12</f>
        <v>1429.74820156245</v>
      </c>
      <c r="AP17" s="50" t="n">
        <f aca="false">AO17*3</f>
        <v>4289.24460468735</v>
      </c>
      <c r="AQ17" s="50" t="n">
        <f aca="false">AO17+AP17</f>
        <v>5718.9928062498</v>
      </c>
      <c r="AR17" s="71"/>
      <c r="AS17" s="71"/>
      <c r="AT17" s="71"/>
      <c r="AU17" s="71"/>
      <c r="AV17" s="71"/>
      <c r="AW17" s="71"/>
    </row>
    <row r="18" customFormat="false" ht="15" hidden="false" customHeight="true" outlineLevel="0" collapsed="false">
      <c r="B18" s="152" t="s">
        <v>152</v>
      </c>
      <c r="C18" s="66" t="n">
        <f aca="false">VLOOKUP($B18,Unidades!$D$5:$N$32,6,FALSE())</f>
        <v>460.62</v>
      </c>
      <c r="D18" s="66" t="n">
        <f aca="false">VLOOKUP($B18,Unidades!$D$5:$N$32,7,FALSE())</f>
        <v>386.62</v>
      </c>
      <c r="E18" s="66" t="n">
        <f aca="false">VLOOKUP($B18,Unidades!$D$5:$N$32,8,FALSE())</f>
        <v>74</v>
      </c>
      <c r="F18" s="66" t="n">
        <f aca="false">VLOOKUP($B18,Unidades!$D$5:$N$32,9,FALSE())</f>
        <v>0</v>
      </c>
      <c r="G18" s="66" t="n">
        <f aca="false">D18+$E$6*E18+$F$6*F18</f>
        <v>412.52</v>
      </c>
      <c r="H18" s="67" t="n">
        <f aca="false">IF(G18&lt;750,1.5,IF(G18&lt;2000,2,3))</f>
        <v>1.5</v>
      </c>
      <c r="I18" s="67" t="n">
        <f aca="false">$I$6*H18</f>
        <v>1.8</v>
      </c>
      <c r="J18" s="67" t="str">
        <f aca="false">VLOOKUP($B18,Unidades!$D$7:$N$32,10,FALSE())</f>
        <v>NÃO</v>
      </c>
      <c r="K18" s="67" t="str">
        <f aca="false">VLOOKUP($B18,Unidades!$D$7:$N$32,11,FALSE())</f>
        <v>NÃO</v>
      </c>
      <c r="L18" s="67" t="n">
        <f aca="false">$L$6*H18+(IF(J18="SIM",$J$6,0))</f>
        <v>1.65</v>
      </c>
      <c r="M18" s="67" t="n">
        <f aca="false">$M$6*H18+(IF(J18="SIM",$J$6,0))+(IF(K18="SIM",$K$6,0))</f>
        <v>1.65</v>
      </c>
      <c r="N18" s="67" t="n">
        <f aca="false">H18*12+I18*4+L18*2+M18</f>
        <v>30.15</v>
      </c>
      <c r="O18" s="68" t="n">
        <f aca="false">IF(K18="não", N18*(C$23+D$23),N18*(C$23+D$23)+(M18*+E$23))</f>
        <v>1499.058</v>
      </c>
      <c r="P18" s="69"/>
      <c r="Q18" s="24" t="str">
        <f aca="false">B18</f>
        <v>APS IMBITUBA</v>
      </c>
      <c r="R18" s="26" t="n">
        <f aca="false">H18*($C$23+$D$23)</f>
        <v>74.58</v>
      </c>
      <c r="S18" s="26" t="n">
        <f aca="false">I18*($C$23+$D$23)</f>
        <v>89.496</v>
      </c>
      <c r="T18" s="26" t="n">
        <f aca="false">L18*($C$23+$D$23)</f>
        <v>82.038</v>
      </c>
      <c r="U18" s="26" t="n">
        <f aca="false">IF(K18="não",M18*($C$23+$D$23),M18*(C$23+D$23+E$23))</f>
        <v>82.038</v>
      </c>
      <c r="V18" s="26" t="n">
        <f aca="false">VLOOKUP(Q18,'Desl. Base Criciúma'!$C$5:$S$17,13,FALSE())*($C$23+$D$23+$E$23*(VLOOKUP(Q18,'Desl. Base Criciúma'!$C$5:$S$17,17,FALSE())/12))</f>
        <v>79.1376666666667</v>
      </c>
      <c r="W18" s="26" t="n">
        <f aca="false">VLOOKUP(Q18,'Desl. Base Criciúma'!$C$5:$S$17,15,FALSE())*(2+(VLOOKUP(Q18,'Desl. Base Criciúma'!$C$5:$S$17,17,FALSE())/12))</f>
        <v>0</v>
      </c>
      <c r="X18" s="26" t="n">
        <f aca="false">VLOOKUP(Q18,'Desl. Base Criciúma'!$C$5:$Q$17,14,FALSE())</f>
        <v>5</v>
      </c>
      <c r="Y18" s="26" t="n">
        <f aca="false">VLOOKUP(Q18,'Desl. Base Criciúma'!$C$5:Q$17,13,FALSE())*'Desl. Base Criciúma'!$E$22+'Desl. Base Criciúma'!$E$23*N18/12</f>
        <v>100.260375</v>
      </c>
      <c r="Z18" s="26" t="n">
        <f aca="false">(H18/$AC$5)*'Equipe Técnica'!$C$13</f>
        <v>208.40682984424</v>
      </c>
      <c r="AA18" s="26" t="n">
        <f aca="false">(I18/$AC$5)*'Equipe Técnica'!$C$13</f>
        <v>250.088195813088</v>
      </c>
      <c r="AB18" s="26" t="n">
        <f aca="false">(L18/$AC$5)*'Equipe Técnica'!$C$13</f>
        <v>229.247512828664</v>
      </c>
      <c r="AC18" s="26" t="n">
        <f aca="false">(M18/$AC$5)*'Equipe Técnica'!$C$13</f>
        <v>229.247512828664</v>
      </c>
      <c r="AD18" s="26" t="n">
        <f aca="false">R18+(($V18+$W18+$X18+$Y18)*12/19)+$Z18</f>
        <v>399.448750896871</v>
      </c>
      <c r="AE18" s="26" t="n">
        <f aca="false">S18+(($V18+$W18+$X18+$Y18)*12/19)+$AA18</f>
        <v>456.046116865719</v>
      </c>
      <c r="AF18" s="26" t="n">
        <f aca="false">T18+(($V18+$W18+$X18+$Y18)*12/19)+$AB18</f>
        <v>427.747433881295</v>
      </c>
      <c r="AG18" s="26" t="n">
        <f aca="false">U18+(($V18+$W18+$X18+$Y18)*12/19)+$AC18</f>
        <v>427.747433881295</v>
      </c>
      <c r="AH18" s="153"/>
      <c r="AI18" s="24" t="str">
        <f aca="false">B18</f>
        <v>APS IMBITUBA</v>
      </c>
      <c r="AJ18" s="70" t="n">
        <f aca="false">VLOOKUP(AI18,Unidades!D$7:H$32,5,)</f>
        <v>0.3278</v>
      </c>
      <c r="AK18" s="50" t="n">
        <f aca="false">AD18*(1+$AJ18)</f>
        <v>530.388051440866</v>
      </c>
      <c r="AL18" s="50" t="n">
        <f aca="false">AE18*(1+$AJ18)</f>
        <v>605.538033974302</v>
      </c>
      <c r="AM18" s="50" t="n">
        <f aca="false">AF18*(1+$AJ18)</f>
        <v>567.963042707584</v>
      </c>
      <c r="AN18" s="50" t="n">
        <f aca="false">AG18*(1+$AJ18)</f>
        <v>567.963042707584</v>
      </c>
      <c r="AO18" s="50" t="n">
        <f aca="false">((AK18*12)+(AL18*4)+(AM18*2)+AN18)/12</f>
        <v>874.224823442529</v>
      </c>
      <c r="AP18" s="50" t="n">
        <f aca="false">AO18*3</f>
        <v>2622.67447032759</v>
      </c>
      <c r="AQ18" s="50" t="n">
        <f aca="false">AO18+AP18</f>
        <v>3496.89929377012</v>
      </c>
      <c r="AR18" s="71"/>
      <c r="AS18" s="71"/>
      <c r="AT18" s="71"/>
      <c r="AU18" s="71"/>
      <c r="AV18" s="71"/>
      <c r="AW18" s="71"/>
    </row>
    <row r="19" customFormat="false" ht="15" hidden="false" customHeight="true" outlineLevel="0" collapsed="false">
      <c r="B19" s="152" t="s">
        <v>153</v>
      </c>
      <c r="C19" s="66" t="n">
        <f aca="false">VLOOKUP($B19,Unidades!$D$5:$N$32,6,FALSE())</f>
        <v>296.9</v>
      </c>
      <c r="D19" s="66" t="n">
        <f aca="false">VLOOKUP($B19,Unidades!$D$5:$N$32,7,FALSE())</f>
        <v>246.9</v>
      </c>
      <c r="E19" s="66" t="n">
        <f aca="false">VLOOKUP($B19,Unidades!$D$5:$N$32,8,FALSE())</f>
        <v>50</v>
      </c>
      <c r="F19" s="66" t="n">
        <f aca="false">VLOOKUP($B19,Unidades!$D$5:$N$32,9,FALSE())</f>
        <v>0</v>
      </c>
      <c r="G19" s="66" t="n">
        <f aca="false">D19+$E$6*E19+$F$6*F19</f>
        <v>264.4</v>
      </c>
      <c r="H19" s="67" t="n">
        <f aca="false">IF(G19&lt;750,1.5,IF(G19&lt;2000,2,3))</f>
        <v>1.5</v>
      </c>
      <c r="I19" s="67" t="n">
        <f aca="false">$I$6*H19</f>
        <v>1.8</v>
      </c>
      <c r="J19" s="67" t="str">
        <f aca="false">VLOOKUP($B19,Unidades!$D$7:$N$32,10,FALSE())</f>
        <v>NÃO</v>
      </c>
      <c r="K19" s="67" t="str">
        <f aca="false">VLOOKUP($B19,Unidades!$D$7:$N$32,11,FALSE())</f>
        <v>NÃO</v>
      </c>
      <c r="L19" s="67" t="n">
        <f aca="false">$L$6*H19+(IF(J19="SIM",$J$6,0))</f>
        <v>1.65</v>
      </c>
      <c r="M19" s="67" t="n">
        <f aca="false">$M$6*H19+(IF(J19="SIM",$J$6,0))+(IF(K19="SIM",$K$6,0))</f>
        <v>1.65</v>
      </c>
      <c r="N19" s="67" t="n">
        <f aca="false">H19*12+I19*4+L19*2+M19</f>
        <v>30.15</v>
      </c>
      <c r="O19" s="68" t="n">
        <f aca="false">IF(K19="não", N19*(C$23+D$23),N19*(C$23+D$23)+(M19*+E$23))</f>
        <v>1499.058</v>
      </c>
      <c r="P19" s="69"/>
      <c r="Q19" s="24" t="str">
        <f aca="false">B19</f>
        <v>APS SÃO JOAQUIM</v>
      </c>
      <c r="R19" s="26" t="n">
        <f aca="false">H19*($C$23+$D$23)</f>
        <v>74.58</v>
      </c>
      <c r="S19" s="26" t="n">
        <f aca="false">I19*($C$23+$D$23)</f>
        <v>89.496</v>
      </c>
      <c r="T19" s="26" t="n">
        <f aca="false">L19*($C$23+$D$23)</f>
        <v>82.038</v>
      </c>
      <c r="U19" s="26" t="n">
        <f aca="false">IF(K19="não",M19*($C$23+$D$23),M19*(C$23+D$23+E$23))</f>
        <v>82.038</v>
      </c>
      <c r="V19" s="26" t="n">
        <f aca="false">VLOOKUP(Q19,'Desl. Base Criciúma'!$C$5:$S$17,13,FALSE())*($C$23+$D$23+$E$23*(VLOOKUP(Q19,'Desl. Base Criciúma'!$C$5:$S$17,17,FALSE())/12))</f>
        <v>232.855333333333</v>
      </c>
      <c r="W19" s="26" t="n">
        <f aca="false">VLOOKUP(Q19,'Desl. Base Criciúma'!$C$5:$S$17,15,FALSE())*(2+(VLOOKUP(Q19,'Desl. Base Criciúma'!$C$5:$S$17,17,FALSE())/12))</f>
        <v>0</v>
      </c>
      <c r="X19" s="26" t="n">
        <f aca="false">VLOOKUP(Q19,'Desl. Base Criciúma'!$C$5:$Q$17,14,FALSE())</f>
        <v>0</v>
      </c>
      <c r="Y19" s="26" t="n">
        <f aca="false">VLOOKUP(Q19,'Desl. Base Criciúma'!$C$5:Q$17,13,FALSE())*'Desl. Base Criciúma'!$E$22+'Desl. Base Criciúma'!$E$23*N19/12</f>
        <v>261.088875</v>
      </c>
      <c r="Z19" s="26" t="n">
        <f aca="false">(H19/$AC$5)*'Equipe Técnica'!$C$13</f>
        <v>208.40682984424</v>
      </c>
      <c r="AA19" s="26" t="n">
        <f aca="false">(I19/$AC$5)*'Equipe Técnica'!$C$13</f>
        <v>250.088195813088</v>
      </c>
      <c r="AB19" s="26" t="n">
        <f aca="false">(L19/$AC$5)*'Equipe Técnica'!$C$13</f>
        <v>229.247512828664</v>
      </c>
      <c r="AC19" s="26" t="n">
        <f aca="false">(M19/$AC$5)*'Equipe Técnica'!$C$13</f>
        <v>229.247512828664</v>
      </c>
      <c r="AD19" s="26" t="n">
        <f aca="false">R19+(($V19+$W19+$X19+$Y19)*12/19)+$Z19</f>
        <v>594.951593002134</v>
      </c>
      <c r="AE19" s="26" t="n">
        <f aca="false">S19+(($V19+$W19+$X19+$Y19)*12/19)+$AA19</f>
        <v>651.548958970982</v>
      </c>
      <c r="AF19" s="26" t="n">
        <f aca="false">T19+(($V19+$W19+$X19+$Y19)*12/19)+$AB19</f>
        <v>623.250275986558</v>
      </c>
      <c r="AG19" s="26" t="n">
        <f aca="false">U19+(($V19+$W19+$X19+$Y19)*12/19)+$AC19</f>
        <v>623.250275986558</v>
      </c>
      <c r="AH19" s="153"/>
      <c r="AI19" s="24" t="str">
        <f aca="false">B19</f>
        <v>APS SÃO JOAQUIM</v>
      </c>
      <c r="AJ19" s="70" t="n">
        <f aca="false">VLOOKUP(AI19,Unidades!D$7:H$32,5,)</f>
        <v>0.2979</v>
      </c>
      <c r="AK19" s="50" t="n">
        <f aca="false">AD19*(1+$AJ19)</f>
        <v>772.18767255747</v>
      </c>
      <c r="AL19" s="50" t="n">
        <f aca="false">AE19*(1+$AJ19)</f>
        <v>845.645393848438</v>
      </c>
      <c r="AM19" s="50" t="n">
        <f aca="false">AF19*(1+$AJ19)</f>
        <v>808.916533202954</v>
      </c>
      <c r="AN19" s="50" t="n">
        <f aca="false">AG19*(1+$AJ19)</f>
        <v>808.916533202954</v>
      </c>
      <c r="AO19" s="50" t="n">
        <f aca="false">((AK19*12)+(AL19*4)+(AM19*2)+AN19)/12</f>
        <v>1256.29860380769</v>
      </c>
      <c r="AP19" s="50" t="n">
        <f aca="false">AO19*3</f>
        <v>3768.89581142306</v>
      </c>
      <c r="AQ19" s="50" t="n">
        <f aca="false">AO19+AP19</f>
        <v>5025.19441523075</v>
      </c>
      <c r="AR19" s="71"/>
      <c r="AS19" s="71"/>
      <c r="AT19" s="71"/>
      <c r="AU19" s="71"/>
      <c r="AV19" s="71"/>
      <c r="AW19" s="71"/>
    </row>
    <row r="20" s="16" customFormat="true" ht="19.5" hidden="false" customHeight="true" outlineLevel="0" collapsed="false">
      <c r="B20" s="9"/>
      <c r="C20" s="75" t="n">
        <f aca="false">SUM(C7:C19)</f>
        <v>14773.32</v>
      </c>
      <c r="D20" s="75" t="n">
        <f aca="false">SUM(D7:D19)</f>
        <v>8380.17</v>
      </c>
      <c r="E20" s="75" t="n">
        <f aca="false">SUM(E7:E19)</f>
        <v>4398.27</v>
      </c>
      <c r="F20" s="75" t="n">
        <f aca="false">SUM(F7:F19)</f>
        <v>1994.88</v>
      </c>
      <c r="G20" s="75" t="n">
        <f aca="false">SUM(G7:G19)</f>
        <v>10119.0525</v>
      </c>
      <c r="H20" s="76" t="n">
        <f aca="false">SUM(H7:H19)</f>
        <v>22.5</v>
      </c>
      <c r="I20" s="76" t="n">
        <f aca="false">SUM(I7:I19)</f>
        <v>27</v>
      </c>
      <c r="J20" s="76" t="n">
        <f aca="false">COUNTIF(J7:J19,"SIM")</f>
        <v>2</v>
      </c>
      <c r="K20" s="76" t="n">
        <f aca="false">COUNTIF(K7:K19,"SIM")</f>
        <v>4</v>
      </c>
      <c r="L20" s="76" t="n">
        <f aca="false">SUM(L7:L19)</f>
        <v>28.75</v>
      </c>
      <c r="M20" s="76" t="n">
        <f aca="false">SUM(M7:M19)</f>
        <v>44.75</v>
      </c>
      <c r="N20" s="76" t="n">
        <f aca="false">SUM(N7:N19)</f>
        <v>480.25</v>
      </c>
      <c r="O20" s="77" t="n">
        <f aca="false">SUM(O7:O19)</f>
        <v>24859.6215</v>
      </c>
      <c r="P20" s="154"/>
      <c r="Q20" s="155" t="s">
        <v>102</v>
      </c>
      <c r="R20" s="79" t="n">
        <f aca="false">SUM(R7:R19)</f>
        <v>1118.7</v>
      </c>
      <c r="S20" s="79" t="n">
        <f aca="false">SUM(S7:S19)</f>
        <v>1342.44</v>
      </c>
      <c r="T20" s="79" t="n">
        <f aca="false">SUM(T7:T19)</f>
        <v>1429.45</v>
      </c>
      <c r="U20" s="79" t="n">
        <f aca="false">SUM(U7:U19)</f>
        <v>3206.5615</v>
      </c>
      <c r="V20" s="79" t="n">
        <f aca="false">SUM(V7:V19)</f>
        <v>798.885555555556</v>
      </c>
      <c r="W20" s="79" t="n">
        <f aca="false">SUM(W7:W19)</f>
        <v>0</v>
      </c>
      <c r="X20" s="79" t="n">
        <f aca="false">SUM(X7:X19)</f>
        <v>20</v>
      </c>
      <c r="Y20" s="79" t="n">
        <f aca="false">SUM(Y7:Y19)</f>
        <v>1093.12479166667</v>
      </c>
      <c r="Z20" s="79" t="n">
        <f aca="false">SUM(Z7:Z19)</f>
        <v>3126.10244766359</v>
      </c>
      <c r="AA20" s="79" t="n">
        <f aca="false">SUM(AA7:AA19)</f>
        <v>3751.32293719631</v>
      </c>
      <c r="AB20" s="79" t="n">
        <f aca="false">SUM(AB7:AB19)</f>
        <v>3994.46423868126</v>
      </c>
      <c r="AC20" s="79" t="n">
        <f aca="false">SUM(AC7:AC19)</f>
        <v>6217.47042368648</v>
      </c>
      <c r="AD20" s="79" t="n">
        <f aca="false">SUM(AD7:AD19)</f>
        <v>5452.38793011973</v>
      </c>
      <c r="AE20" s="79" t="n">
        <f aca="false">SUM(AE7:AE19)</f>
        <v>6301.34841965245</v>
      </c>
      <c r="AF20" s="79" t="n">
        <f aca="false">SUM(AF7:AF19)</f>
        <v>6631.4997211374</v>
      </c>
      <c r="AG20" s="79" t="n">
        <f aca="false">SUM(AG7:AG19)</f>
        <v>10631.6174061426</v>
      </c>
      <c r="AH20" s="41"/>
      <c r="AI20" s="76" t="s">
        <v>102</v>
      </c>
      <c r="AJ20" s="76"/>
      <c r="AK20" s="80" t="n">
        <f aca="false">SUM(AK7:AK19)</f>
        <v>7129.12712171318</v>
      </c>
      <c r="AL20" s="80" t="n">
        <f aca="false">SUM(AL7:AL19)</f>
        <v>8239.45047413231</v>
      </c>
      <c r="AM20" s="80" t="n">
        <f aca="false">SUM(AM7:AM19)</f>
        <v>8669.30935524457</v>
      </c>
      <c r="AN20" s="80" t="n">
        <f aca="false">SUM(AN7:AN19)</f>
        <v>13876.2069163159</v>
      </c>
      <c r="AO20" s="80" t="n">
        <f aca="false">SUM(AO7:AO19)</f>
        <v>12476.846081991</v>
      </c>
      <c r="AP20" s="80" t="n">
        <f aca="false">SUM(AP7:AP19)</f>
        <v>37430.5382459731</v>
      </c>
      <c r="AQ20" s="80" t="n">
        <f aca="false">SUM(AQ7:AQ19)</f>
        <v>49907.3843279641</v>
      </c>
      <c r="AR20" s="71"/>
      <c r="AS20" s="71"/>
      <c r="AT20" s="71"/>
      <c r="AU20" s="71"/>
      <c r="AV20" s="71"/>
      <c r="AW20" s="7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</row>
    <row r="21" customFormat="false" ht="18" hidden="false" customHeight="true" outlineLevel="0" collapsed="false">
      <c r="B21" s="2"/>
      <c r="C21" s="2"/>
      <c r="D21" s="2"/>
      <c r="E21" s="2"/>
      <c r="F21" s="2"/>
      <c r="G21" s="2"/>
      <c r="H21" s="81"/>
      <c r="I21" s="2"/>
      <c r="J21" s="2"/>
      <c r="O21" s="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D21" s="58"/>
      <c r="AE21" s="58"/>
      <c r="AF21" s="58"/>
      <c r="AG21" s="58"/>
      <c r="AH21" s="58"/>
      <c r="AS21" s="156"/>
      <c r="AT21" s="156"/>
      <c r="AU21" s="156"/>
      <c r="AV21" s="156"/>
      <c r="AW21" s="156"/>
    </row>
    <row r="22" customFormat="false" ht="39.75" hidden="false" customHeight="true" outlineLevel="0" collapsed="false">
      <c r="B22" s="49" t="s">
        <v>30</v>
      </c>
      <c r="C22" s="83" t="str">
        <f aca="false">'Base Florianópolis'!C24</f>
        <v>Oficial de Manutenção Predial</v>
      </c>
      <c r="D22" s="83" t="str">
        <f aca="false">'Base Florianópolis'!D24</f>
        <v>Ajudante (ref. SINAPI/88241)</v>
      </c>
      <c r="E22" s="157" t="str">
        <f aca="false">'Base Florianópolis'!E24</f>
        <v>Eletrotécnico (ref. SINAPI/88266)</v>
      </c>
      <c r="N22" s="158"/>
      <c r="O22" s="159"/>
      <c r="R22" s="84"/>
      <c r="V22" s="159"/>
      <c r="Z22" s="84"/>
      <c r="AA22" s="84"/>
      <c r="AB22" s="84"/>
      <c r="AC22" s="84"/>
    </row>
    <row r="23" customFormat="false" ht="18" hidden="false" customHeight="true" outlineLevel="0" collapsed="false">
      <c r="B23" s="49"/>
      <c r="C23" s="26" t="n">
        <f aca="false">'Base Florianópolis'!C25</f>
        <v>28.44</v>
      </c>
      <c r="D23" s="26" t="n">
        <f aca="false">'Base Florianópolis'!D25</f>
        <v>21.28</v>
      </c>
      <c r="E23" s="26" t="n">
        <f aca="false">'Base Florianópolis'!E25</f>
        <v>35.89</v>
      </c>
      <c r="N23" s="158"/>
      <c r="O23" s="159"/>
    </row>
    <row r="24" customFormat="false" ht="40.5" hidden="false" customHeight="true" outlineLevel="0" collapsed="false">
      <c r="B24" s="53" t="str">
        <f aca="false">'Base Florianópolis'!B26</f>
        <v>* Tabela SINAPI Outubro/2023 (Desonerado)</v>
      </c>
      <c r="N24" s="159"/>
      <c r="O24" s="159"/>
    </row>
    <row r="25" customFormat="false" ht="14.25" hidden="false" customHeight="false" outlineLevel="0" collapsed="false">
      <c r="N25" s="159"/>
      <c r="O25" s="159"/>
    </row>
    <row r="26" customFormat="false" ht="14.25" hidden="false" customHeight="false" outlineLevel="0" collapsed="false">
      <c r="N26" s="159"/>
      <c r="O26" s="159"/>
    </row>
    <row r="27" customFormat="false" ht="15.75" hidden="false" customHeight="true" outlineLevel="0" collapsed="false">
      <c r="N27" s="159"/>
      <c r="O27" s="159"/>
    </row>
    <row r="28" customFormat="false" ht="14.25" hidden="false" customHeight="false" outlineLevel="0" collapsed="false">
      <c r="N28" s="159"/>
      <c r="O28" s="159"/>
    </row>
    <row r="29" customFormat="false" ht="14.25" hidden="false" customHeight="false" outlineLevel="0" collapsed="false">
      <c r="N29" s="159"/>
      <c r="O29" s="159"/>
    </row>
    <row r="30" customFormat="false" ht="14.25" hidden="false" customHeight="false" outlineLevel="0" collapsed="false">
      <c r="N30" s="159"/>
      <c r="O30" s="159"/>
    </row>
    <row r="31" customFormat="false" ht="14.25" hidden="false" customHeight="false" outlineLevel="0" collapsed="false">
      <c r="N31" s="159"/>
      <c r="O31" s="159"/>
    </row>
    <row r="32" customFormat="false" ht="14.25" hidden="false" customHeight="false" outlineLevel="0" collapsed="false">
      <c r="N32" s="159"/>
      <c r="O32" s="159"/>
    </row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0:AJ20"/>
    <mergeCell ref="B22:B23"/>
    <mergeCell ref="N22:N23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62"/>
  <sheetViews>
    <sheetView showFormulas="false" showGridLines="false" showRowColHeaders="true" showZeros="true" rightToLeft="false" tabSelected="false" showOutlineSymbols="true" defaultGridColor="true" view="normal" topLeftCell="C1" colorId="64" zoomScale="80" zoomScaleNormal="80" zoomScalePageLayoutView="100" workbookViewId="0">
      <selection pane="topLeft" activeCell="R5" activeCellId="0" sqref="R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6" width="12.62"/>
    <col collapsed="false" customWidth="true" hidden="false" outlineLevel="0" max="3" min="3" style="86" width="32.62"/>
    <col collapsed="false" customWidth="true" hidden="false" outlineLevel="0" max="17" min="4" style="86" width="9.62"/>
    <col collapsed="false" customWidth="true" hidden="false" outlineLevel="0" max="66" min="18" style="86" width="10.75"/>
    <col collapsed="false" customWidth="true" hidden="false" outlineLevel="0" max="257" min="67" style="85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"&amp;Resumo!B6</f>
        <v>DESLOCAMENTO BASE CRICIÚMA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customFormat="false" ht="56.2" hidden="false" customHeight="false" outlineLevel="0" collapsed="false">
      <c r="B4" s="23" t="s">
        <v>106</v>
      </c>
      <c r="C4" s="23" t="str">
        <f aca="false">"Rota (saída e retorno "&amp;Resumo!B6&amp;")"</f>
        <v>Rota (saída e retorno CRICIÚMA)</v>
      </c>
      <c r="D4" s="23" t="s">
        <v>107</v>
      </c>
      <c r="E4" s="23" t="s">
        <v>108</v>
      </c>
      <c r="F4" s="23" t="s">
        <v>109</v>
      </c>
      <c r="G4" s="23" t="s">
        <v>110</v>
      </c>
      <c r="H4" s="23" t="s">
        <v>111</v>
      </c>
      <c r="I4" s="23" t="s">
        <v>112</v>
      </c>
      <c r="J4" s="23" t="s">
        <v>113</v>
      </c>
      <c r="K4" s="23" t="s">
        <v>114</v>
      </c>
      <c r="L4" s="23" t="s">
        <v>115</v>
      </c>
      <c r="M4" s="88" t="s">
        <v>154</v>
      </c>
      <c r="N4" s="23" t="s">
        <v>117</v>
      </c>
      <c r="O4" s="23" t="s">
        <v>118</v>
      </c>
      <c r="P4" s="23" t="s">
        <v>119</v>
      </c>
      <c r="Q4" s="23" t="s">
        <v>67</v>
      </c>
      <c r="R4" s="34" t="s">
        <v>120</v>
      </c>
      <c r="S4" s="34" t="s">
        <v>121</v>
      </c>
    </row>
    <row r="5" customFormat="false" ht="15.75" hidden="false" customHeight="true" outlineLevel="0" collapsed="false">
      <c r="B5" s="52" t="n">
        <v>1</v>
      </c>
      <c r="C5" s="160" t="s">
        <v>151</v>
      </c>
      <c r="D5" s="161" t="n">
        <v>10.3</v>
      </c>
      <c r="E5" s="161" t="n">
        <v>6.1</v>
      </c>
      <c r="F5" s="161" t="n">
        <v>0</v>
      </c>
      <c r="G5" s="94" t="n">
        <f aca="false">SUM(D5:F5)</f>
        <v>16.4</v>
      </c>
      <c r="H5" s="161" t="n">
        <v>12</v>
      </c>
      <c r="I5" s="161" t="n">
        <v>10</v>
      </c>
      <c r="J5" s="161" t="n">
        <v>0</v>
      </c>
      <c r="K5" s="94" t="n">
        <f aca="false">SUM(H5:J5)</f>
        <v>22</v>
      </c>
      <c r="L5" s="94" t="n">
        <f aca="false">K5/60</f>
        <v>0.366666666666667</v>
      </c>
      <c r="M5" s="100" t="n">
        <v>0</v>
      </c>
      <c r="N5" s="93" t="n">
        <v>2</v>
      </c>
      <c r="O5" s="162" t="n">
        <f aca="false">L5/N5</f>
        <v>0.183333333333333</v>
      </c>
      <c r="P5" s="99" t="n">
        <f aca="false">M5/N5</f>
        <v>0</v>
      </c>
      <c r="Q5" s="99" t="n">
        <v>0</v>
      </c>
      <c r="R5" s="100" t="str">
        <f aca="false">INDEX('Base Criciúma'!$K$7:$K$19,MATCH(C5,'Base Criciúma'!$B$7:$B$19,0))</f>
        <v>SIM</v>
      </c>
      <c r="S5" s="101" t="n">
        <v>1</v>
      </c>
    </row>
    <row r="6" customFormat="false" ht="15.75" hidden="false" customHeight="true" outlineLevel="0" collapsed="false">
      <c r="B6" s="52"/>
      <c r="C6" s="160" t="s">
        <v>150</v>
      </c>
      <c r="D6" s="161"/>
      <c r="E6" s="161"/>
      <c r="F6" s="161"/>
      <c r="G6" s="94"/>
      <c r="H6" s="161"/>
      <c r="I6" s="161"/>
      <c r="J6" s="161"/>
      <c r="K6" s="94"/>
      <c r="L6" s="94"/>
      <c r="M6" s="100"/>
      <c r="N6" s="93"/>
      <c r="O6" s="163" t="n">
        <f aca="false">O5</f>
        <v>0.183333333333333</v>
      </c>
      <c r="P6" s="109" t="n">
        <f aca="false">P5</f>
        <v>0</v>
      </c>
      <c r="Q6" s="109" t="n">
        <f aca="false">Q5</f>
        <v>0</v>
      </c>
      <c r="R6" s="100" t="str">
        <f aca="false">INDEX('Base Criciúma'!$K$7:$K$19,MATCH(C6,'Base Criciúma'!$B$7:$B$19,0))</f>
        <v>NÃO</v>
      </c>
      <c r="S6" s="101" t="n">
        <v>1</v>
      </c>
    </row>
    <row r="7" customFormat="false" ht="15.75" hidden="false" customHeight="true" outlineLevel="0" collapsed="false">
      <c r="B7" s="52" t="n">
        <v>2</v>
      </c>
      <c r="C7" s="160" t="s">
        <v>141</v>
      </c>
      <c r="D7" s="161" t="n">
        <v>41.5</v>
      </c>
      <c r="E7" s="161" t="n">
        <v>32.6</v>
      </c>
      <c r="F7" s="161" t="n">
        <v>68</v>
      </c>
      <c r="G7" s="94" t="n">
        <f aca="false">SUM(D7:F7)</f>
        <v>142.1</v>
      </c>
      <c r="H7" s="161" t="n">
        <v>37</v>
      </c>
      <c r="I7" s="161" t="n">
        <v>29</v>
      </c>
      <c r="J7" s="161" t="n">
        <v>53</v>
      </c>
      <c r="K7" s="94" t="n">
        <f aca="false">SUM(H7:J7)</f>
        <v>119</v>
      </c>
      <c r="L7" s="94" t="n">
        <f aca="false">K7/60</f>
        <v>1.98333333333333</v>
      </c>
      <c r="M7" s="100" t="n">
        <v>5</v>
      </c>
      <c r="N7" s="93" t="n">
        <v>2</v>
      </c>
      <c r="O7" s="162" t="n">
        <f aca="false">L7/N7</f>
        <v>0.991666666666667</v>
      </c>
      <c r="P7" s="99" t="n">
        <f aca="false">M7/N7</f>
        <v>2.5</v>
      </c>
      <c r="Q7" s="99" t="n">
        <v>0</v>
      </c>
      <c r="R7" s="100" t="str">
        <f aca="false">INDEX('Base Criciúma'!$K$7:$K$19,MATCH(C7,'Base Criciúma'!$B$7:$B$19,0))</f>
        <v>SIM</v>
      </c>
      <c r="S7" s="101" t="n">
        <v>1</v>
      </c>
    </row>
    <row r="8" customFormat="false" ht="15.75" hidden="false" customHeight="true" outlineLevel="0" collapsed="false">
      <c r="B8" s="52"/>
      <c r="C8" s="160" t="s">
        <v>147</v>
      </c>
      <c r="D8" s="161"/>
      <c r="E8" s="161"/>
      <c r="F8" s="161"/>
      <c r="G8" s="94"/>
      <c r="H8" s="161"/>
      <c r="I8" s="161"/>
      <c r="J8" s="161"/>
      <c r="K8" s="94"/>
      <c r="L8" s="94"/>
      <c r="M8" s="100"/>
      <c r="N8" s="93"/>
      <c r="O8" s="163" t="n">
        <f aca="false">O7</f>
        <v>0.991666666666667</v>
      </c>
      <c r="P8" s="109" t="n">
        <f aca="false">P7</f>
        <v>2.5</v>
      </c>
      <c r="Q8" s="109" t="n">
        <f aca="false">Q7</f>
        <v>0</v>
      </c>
      <c r="R8" s="100" t="str">
        <f aca="false">INDEX('Base Criciúma'!$K$7:$K$19,MATCH(C8,'Base Criciúma'!$B$7:$B$19,0))</f>
        <v>NÃO</v>
      </c>
      <c r="S8" s="101" t="n">
        <v>1</v>
      </c>
    </row>
    <row r="9" customFormat="false" ht="15.75" hidden="false" customHeight="true" outlineLevel="0" collapsed="false">
      <c r="B9" s="52" t="n">
        <v>3</v>
      </c>
      <c r="C9" s="160" t="s">
        <v>145</v>
      </c>
      <c r="D9" s="161" t="n">
        <v>10.5</v>
      </c>
      <c r="E9" s="161" t="n">
        <v>20.7</v>
      </c>
      <c r="F9" s="161" t="n">
        <v>16.4</v>
      </c>
      <c r="G9" s="94" t="n">
        <f aca="false">SUM(D9:F9)</f>
        <v>47.6</v>
      </c>
      <c r="H9" s="161" t="n">
        <v>17</v>
      </c>
      <c r="I9" s="161" t="n">
        <v>27</v>
      </c>
      <c r="J9" s="161" t="n">
        <v>24</v>
      </c>
      <c r="K9" s="94" t="n">
        <f aca="false">SUM(H9:J9)</f>
        <v>68</v>
      </c>
      <c r="L9" s="94" t="n">
        <f aca="false">K9/60</f>
        <v>1.13333333333333</v>
      </c>
      <c r="M9" s="100" t="n">
        <v>0</v>
      </c>
      <c r="N9" s="93" t="n">
        <v>2</v>
      </c>
      <c r="O9" s="162" t="n">
        <f aca="false">L9/N9</f>
        <v>0.566666666666667</v>
      </c>
      <c r="P9" s="99" t="n">
        <f aca="false">M9/N9</f>
        <v>0</v>
      </c>
      <c r="Q9" s="99" t="n">
        <v>0</v>
      </c>
      <c r="R9" s="100" t="str">
        <f aca="false">INDEX('Base Criciúma'!$K$7:$K$19,MATCH(C9,'Base Criciúma'!$B$7:$B$19,0))</f>
        <v>NÃO</v>
      </c>
      <c r="S9" s="101" t="n">
        <v>0</v>
      </c>
    </row>
    <row r="10" customFormat="false" ht="15.75" hidden="false" customHeight="true" outlineLevel="0" collapsed="false">
      <c r="B10" s="52"/>
      <c r="C10" s="160" t="s">
        <v>144</v>
      </c>
      <c r="D10" s="161"/>
      <c r="E10" s="161"/>
      <c r="F10" s="161"/>
      <c r="G10" s="94"/>
      <c r="H10" s="161"/>
      <c r="I10" s="161"/>
      <c r="J10" s="161"/>
      <c r="K10" s="94"/>
      <c r="L10" s="94"/>
      <c r="M10" s="100" t="n">
        <v>0</v>
      </c>
      <c r="N10" s="93"/>
      <c r="O10" s="163" t="n">
        <f aca="false">O9</f>
        <v>0.566666666666667</v>
      </c>
      <c r="P10" s="109" t="n">
        <f aca="false">P9</f>
        <v>0</v>
      </c>
      <c r="Q10" s="109" t="n">
        <f aca="false">Q9</f>
        <v>0</v>
      </c>
      <c r="R10" s="100" t="str">
        <f aca="false">INDEX('Base Criciúma'!$K$7:$K$19,MATCH(C10,'Base Criciúma'!$B$7:$B$19,0))</f>
        <v>NÃO</v>
      </c>
      <c r="S10" s="101" t="n">
        <v>0</v>
      </c>
    </row>
    <row r="11" customFormat="false" ht="15.75" hidden="false" customHeight="true" outlineLevel="0" collapsed="false">
      <c r="B11" s="52" t="n">
        <v>4</v>
      </c>
      <c r="C11" s="160" t="s">
        <v>149</v>
      </c>
      <c r="D11" s="161" t="n">
        <v>19.9</v>
      </c>
      <c r="E11" s="161" t="n">
        <v>41.4</v>
      </c>
      <c r="F11" s="161" t="n">
        <v>61.5</v>
      </c>
      <c r="G11" s="94" t="n">
        <f aca="false">SUM(D11:F11)</f>
        <v>122.8</v>
      </c>
      <c r="H11" s="161" t="n">
        <v>24</v>
      </c>
      <c r="I11" s="161" t="n">
        <v>45</v>
      </c>
      <c r="J11" s="161" t="n">
        <v>72</v>
      </c>
      <c r="K11" s="94" t="n">
        <f aca="false">SUM(H11:J11)</f>
        <v>141</v>
      </c>
      <c r="L11" s="94" t="n">
        <f aca="false">K11/60</f>
        <v>2.35</v>
      </c>
      <c r="M11" s="100" t="n">
        <v>0</v>
      </c>
      <c r="N11" s="93" t="n">
        <v>2</v>
      </c>
      <c r="O11" s="162" t="n">
        <f aca="false">L11/N11</f>
        <v>1.175</v>
      </c>
      <c r="P11" s="99" t="n">
        <f aca="false">M11/N11</f>
        <v>0</v>
      </c>
      <c r="Q11" s="99" t="n">
        <v>0</v>
      </c>
      <c r="R11" s="100" t="str">
        <f aca="false">INDEX('Base Criciúma'!$K$7:$K$19,MATCH(C11,'Base Criciúma'!$B$7:$B$19,0))</f>
        <v>NÃO</v>
      </c>
      <c r="S11" s="101" t="n">
        <v>1</v>
      </c>
    </row>
    <row r="12" customFormat="false" ht="15.75" hidden="false" customHeight="true" outlineLevel="0" collapsed="false">
      <c r="B12" s="52"/>
      <c r="C12" s="160" t="s">
        <v>142</v>
      </c>
      <c r="D12" s="161"/>
      <c r="E12" s="161"/>
      <c r="F12" s="161"/>
      <c r="G12" s="94"/>
      <c r="H12" s="161"/>
      <c r="I12" s="161"/>
      <c r="J12" s="161"/>
      <c r="K12" s="94"/>
      <c r="L12" s="94"/>
      <c r="M12" s="100"/>
      <c r="N12" s="93"/>
      <c r="O12" s="163" t="n">
        <f aca="false">O11</f>
        <v>1.175</v>
      </c>
      <c r="P12" s="109" t="n">
        <f aca="false">P11</f>
        <v>0</v>
      </c>
      <c r="Q12" s="109" t="n">
        <f aca="false">Q11</f>
        <v>0</v>
      </c>
      <c r="R12" s="100" t="str">
        <f aca="false">INDEX('Base Criciúma'!$K$7:$K$19,MATCH(C12,'Base Criciúma'!$B$7:$B$19,0))</f>
        <v>SIM</v>
      </c>
      <c r="S12" s="101" t="n">
        <v>1</v>
      </c>
    </row>
    <row r="13" customFormat="false" ht="15.75" hidden="false" customHeight="true" outlineLevel="0" collapsed="false">
      <c r="B13" s="52" t="n">
        <v>5</v>
      </c>
      <c r="C13" s="160" t="s">
        <v>148</v>
      </c>
      <c r="D13" s="161" t="n">
        <v>65.9</v>
      </c>
      <c r="E13" s="161" t="n">
        <v>7.7</v>
      </c>
      <c r="F13" s="161" t="n">
        <v>72.8</v>
      </c>
      <c r="G13" s="94" t="n">
        <f aca="false">SUM(D13:F13)</f>
        <v>146.4</v>
      </c>
      <c r="H13" s="161" t="n">
        <v>51</v>
      </c>
      <c r="I13" s="161" t="n">
        <v>10</v>
      </c>
      <c r="J13" s="161" t="n">
        <v>57</v>
      </c>
      <c r="K13" s="94" t="n">
        <f aca="false">SUM(H13:J13)</f>
        <v>118</v>
      </c>
      <c r="L13" s="94" t="n">
        <f aca="false">K13/60</f>
        <v>1.96666666666667</v>
      </c>
      <c r="M13" s="100" t="n">
        <v>5</v>
      </c>
      <c r="N13" s="93" t="n">
        <v>2</v>
      </c>
      <c r="O13" s="162" t="n">
        <f aca="false">L13/N13</f>
        <v>0.983333333333333</v>
      </c>
      <c r="P13" s="99" t="n">
        <f aca="false">M13/N13</f>
        <v>2.5</v>
      </c>
      <c r="Q13" s="99" t="n">
        <v>0</v>
      </c>
      <c r="R13" s="100" t="str">
        <f aca="false">INDEX('Base Criciúma'!$K$7:$K$19,MATCH(C13,'Base Criciúma'!$B$7:$B$19,0))</f>
        <v>SIM</v>
      </c>
      <c r="S13" s="101" t="n">
        <v>1</v>
      </c>
    </row>
    <row r="14" customFormat="false" ht="15.75" hidden="false" customHeight="true" outlineLevel="0" collapsed="false">
      <c r="B14" s="52"/>
      <c r="C14" s="160" t="s">
        <v>143</v>
      </c>
      <c r="D14" s="161"/>
      <c r="E14" s="161"/>
      <c r="F14" s="161"/>
      <c r="G14" s="94"/>
      <c r="H14" s="161"/>
      <c r="I14" s="161"/>
      <c r="J14" s="161"/>
      <c r="K14" s="94"/>
      <c r="L14" s="94"/>
      <c r="M14" s="100"/>
      <c r="N14" s="93"/>
      <c r="O14" s="163" t="n">
        <f aca="false">O13</f>
        <v>0.983333333333333</v>
      </c>
      <c r="P14" s="109" t="n">
        <f aca="false">P13</f>
        <v>2.5</v>
      </c>
      <c r="Q14" s="109" t="n">
        <f aca="false">Q13</f>
        <v>0</v>
      </c>
      <c r="R14" s="100" t="str">
        <f aca="false">INDEX('Base Criciúma'!$K$7:$K$19,MATCH(C14,'Base Criciúma'!$B$7:$B$19,0))</f>
        <v>NÃO</v>
      </c>
      <c r="S14" s="101" t="n">
        <v>1</v>
      </c>
    </row>
    <row r="15" customFormat="false" ht="15.75" hidden="false" customHeight="true" outlineLevel="0" collapsed="false">
      <c r="B15" s="52" t="n">
        <v>6</v>
      </c>
      <c r="C15" s="160" t="s">
        <v>146</v>
      </c>
      <c r="D15" s="161" t="n">
        <v>94.3</v>
      </c>
      <c r="E15" s="161" t="n">
        <v>33.5</v>
      </c>
      <c r="F15" s="161" t="n">
        <v>114</v>
      </c>
      <c r="G15" s="94" t="n">
        <f aca="false">SUM(D15:F15)</f>
        <v>241.8</v>
      </c>
      <c r="H15" s="161" t="n">
        <v>72</v>
      </c>
      <c r="I15" s="161" t="n">
        <v>33</v>
      </c>
      <c r="J15" s="161" t="n">
        <v>86</v>
      </c>
      <c r="K15" s="94" t="n">
        <f aca="false">SUM(H15:J15)</f>
        <v>191</v>
      </c>
      <c r="L15" s="94" t="n">
        <f aca="false">K15/60</f>
        <v>3.18333333333333</v>
      </c>
      <c r="M15" s="100" t="n">
        <v>10</v>
      </c>
      <c r="N15" s="164" t="n">
        <v>2</v>
      </c>
      <c r="O15" s="162" t="n">
        <f aca="false">L15/N15</f>
        <v>1.59166666666667</v>
      </c>
      <c r="P15" s="99" t="n">
        <f aca="false">M15/N15</f>
        <v>5</v>
      </c>
      <c r="Q15" s="99" t="n">
        <v>0</v>
      </c>
      <c r="R15" s="100" t="str">
        <f aca="false">INDEX('Base Criciúma'!$K$7:$K$19,MATCH(C15,'Base Criciúma'!$B$7:$B$19,0))</f>
        <v>NÃO</v>
      </c>
      <c r="S15" s="101" t="n">
        <v>0</v>
      </c>
    </row>
    <row r="16" customFormat="false" ht="15.75" hidden="false" customHeight="true" outlineLevel="0" collapsed="false">
      <c r="B16" s="52"/>
      <c r="C16" s="160" t="s">
        <v>152</v>
      </c>
      <c r="D16" s="161"/>
      <c r="E16" s="161"/>
      <c r="F16" s="161"/>
      <c r="G16" s="94"/>
      <c r="H16" s="161"/>
      <c r="I16" s="161"/>
      <c r="J16" s="161"/>
      <c r="K16" s="94"/>
      <c r="L16" s="94"/>
      <c r="M16" s="100"/>
      <c r="N16" s="164"/>
      <c r="O16" s="163" t="n">
        <f aca="false">O15</f>
        <v>1.59166666666667</v>
      </c>
      <c r="P16" s="109" t="n">
        <f aca="false">P15</f>
        <v>5</v>
      </c>
      <c r="Q16" s="109" t="n">
        <f aca="false">Q15</f>
        <v>0</v>
      </c>
      <c r="R16" s="100" t="str">
        <f aca="false">INDEX('Base Criciúma'!$K$7:$K$19,MATCH(C16,'Base Criciúma'!$B$7:$B$19,0))</f>
        <v>NÃO</v>
      </c>
      <c r="S16" s="101" t="n">
        <v>0</v>
      </c>
    </row>
    <row r="17" customFormat="false" ht="15.75" hidden="false" customHeight="true" outlineLevel="0" collapsed="false">
      <c r="B17" s="52" t="n">
        <v>7</v>
      </c>
      <c r="C17" s="160" t="s">
        <v>153</v>
      </c>
      <c r="D17" s="161" t="n">
        <v>113</v>
      </c>
      <c r="E17" s="161" t="n">
        <v>114</v>
      </c>
      <c r="F17" s="161" t="n">
        <v>0</v>
      </c>
      <c r="G17" s="94" t="n">
        <f aca="false">SUM(D17:F17)</f>
        <v>227</v>
      </c>
      <c r="H17" s="161" t="n">
        <v>144</v>
      </c>
      <c r="I17" s="161" t="n">
        <v>137</v>
      </c>
      <c r="J17" s="161" t="n">
        <v>0</v>
      </c>
      <c r="K17" s="94" t="n">
        <f aca="false">SUM(H17:J17)</f>
        <v>281</v>
      </c>
      <c r="L17" s="94" t="n">
        <f aca="false">K17/60</f>
        <v>4.68333333333333</v>
      </c>
      <c r="M17" s="95" t="n">
        <v>0</v>
      </c>
      <c r="N17" s="164" t="n">
        <v>1</v>
      </c>
      <c r="O17" s="94" t="n">
        <f aca="false">L17/N17</f>
        <v>4.68333333333333</v>
      </c>
      <c r="P17" s="115" t="n">
        <f aca="false">M17/N17</f>
        <v>0</v>
      </c>
      <c r="Q17" s="95" t="n">
        <v>0</v>
      </c>
      <c r="R17" s="100" t="str">
        <f aca="false">INDEX('Base Criciúma'!$K$7:$K$19,MATCH(C17,'Base Criciúma'!$B$7:$B$19,0))</f>
        <v>NÃO</v>
      </c>
      <c r="S17" s="101" t="n">
        <v>0</v>
      </c>
    </row>
    <row r="18" customFormat="false" ht="21" hidden="false" customHeight="true" outlineLevel="0" collapsed="false">
      <c r="B18" s="118" t="s">
        <v>102</v>
      </c>
      <c r="C18" s="118"/>
      <c r="D18" s="118"/>
      <c r="E18" s="118"/>
      <c r="F18" s="118"/>
      <c r="G18" s="119" t="n">
        <f aca="false">SUM(G5:G17)</f>
        <v>944.1</v>
      </c>
      <c r="H18" s="119" t="s">
        <v>102</v>
      </c>
      <c r="I18" s="119"/>
      <c r="J18" s="119"/>
      <c r="K18" s="119" t="n">
        <f aca="false">SUM(K5:K17)</f>
        <v>940</v>
      </c>
      <c r="L18" s="119" t="n">
        <f aca="false">SUM(L5:L17)</f>
        <v>15.6666666666667</v>
      </c>
      <c r="M18" s="121" t="n">
        <f aca="false">SUM(M5:M17)</f>
        <v>20</v>
      </c>
      <c r="N18" s="165" t="n">
        <f aca="false">SUM(N5:N17)</f>
        <v>13</v>
      </c>
      <c r="O18" s="119" t="n">
        <f aca="false">SUM(O5:O17)</f>
        <v>15.6666666666667</v>
      </c>
      <c r="P18" s="121" t="n">
        <f aca="false">SUM(P5:P17)</f>
        <v>20</v>
      </c>
      <c r="Q18" s="121" t="n">
        <v>0</v>
      </c>
      <c r="R18" s="121"/>
      <c r="S18" s="122"/>
    </row>
    <row r="19" customFormat="false" ht="15.75" hidden="false" customHeight="true" outlineLevel="0" collapsed="false">
      <c r="B19" s="125"/>
      <c r="C19" s="125"/>
      <c r="D19" s="125"/>
      <c r="E19" s="125"/>
      <c r="F19" s="85"/>
      <c r="G19" s="85"/>
      <c r="H19" s="85"/>
      <c r="I19" s="85"/>
      <c r="J19" s="85"/>
      <c r="K19" s="85"/>
      <c r="L19" s="85"/>
      <c r="M19" s="85"/>
      <c r="N19" s="85"/>
    </row>
    <row r="20" customFormat="false" ht="18.75" hidden="false" customHeight="true" outlineLevel="0" collapsed="false">
      <c r="B20" s="126" t="s">
        <v>122</v>
      </c>
      <c r="C20" s="126"/>
      <c r="D20" s="126"/>
      <c r="E20" s="126"/>
      <c r="F20" s="125"/>
      <c r="G20" s="125"/>
      <c r="H20" s="125"/>
      <c r="I20" s="125"/>
      <c r="J20" s="125"/>
      <c r="K20" s="125"/>
      <c r="L20" s="125"/>
      <c r="M20" s="125"/>
      <c r="N20" s="125"/>
    </row>
    <row r="21" customFormat="false" ht="18.75" hidden="false" customHeight="true" outlineLevel="0" collapsed="false">
      <c r="B21" s="148" t="s">
        <v>123</v>
      </c>
      <c r="C21" s="148" t="s">
        <v>124</v>
      </c>
      <c r="D21" s="148" t="s">
        <v>125</v>
      </c>
      <c r="E21" s="148" t="s">
        <v>126</v>
      </c>
      <c r="F21" s="125"/>
      <c r="G21" s="127"/>
      <c r="H21" s="127"/>
      <c r="I21" s="125"/>
      <c r="J21" s="125"/>
      <c r="K21" s="125"/>
      <c r="L21" s="125"/>
      <c r="M21" s="125"/>
      <c r="N21" s="125"/>
    </row>
    <row r="22" customFormat="false" ht="18.75" hidden="false" customHeight="true" outlineLevel="0" collapsed="false">
      <c r="B22" s="52" t="s">
        <v>127</v>
      </c>
      <c r="C22" s="129" t="s">
        <v>128</v>
      </c>
      <c r="D22" s="52" t="s">
        <v>129</v>
      </c>
      <c r="E22" s="130" t="n">
        <f aca="false">'Desl. Base Florianópolis'!E24</f>
        <v>52.02</v>
      </c>
      <c r="F22" s="125"/>
      <c r="G22" s="131"/>
      <c r="H22" s="166"/>
      <c r="I22" s="125"/>
      <c r="J22" s="125"/>
      <c r="K22" s="167"/>
      <c r="L22" s="167"/>
    </row>
    <row r="23" customFormat="false" ht="18.75" hidden="false" customHeight="true" outlineLevel="0" collapsed="false">
      <c r="B23" s="112" t="s">
        <v>130</v>
      </c>
      <c r="C23" s="132" t="s">
        <v>128</v>
      </c>
      <c r="D23" s="112" t="s">
        <v>131</v>
      </c>
      <c r="E23" s="133" t="n">
        <f aca="false">'Desl. Base Florianópolis'!E25</f>
        <v>6.95</v>
      </c>
      <c r="F23" s="125"/>
      <c r="G23" s="131"/>
      <c r="H23" s="131"/>
      <c r="I23" s="125"/>
      <c r="J23" s="125"/>
      <c r="K23" s="167"/>
      <c r="L23" s="167"/>
    </row>
    <row r="24" customFormat="false" ht="47.25" hidden="false" customHeight="true" outlineLevel="0" collapsed="false">
      <c r="B24" s="134" t="s">
        <v>132</v>
      </c>
      <c r="C24" s="134"/>
      <c r="D24" s="134"/>
      <c r="E24" s="134"/>
      <c r="F24" s="135"/>
      <c r="G24" s="135"/>
      <c r="H24" s="135"/>
      <c r="I24" s="135"/>
      <c r="J24" s="135"/>
      <c r="K24" s="135"/>
      <c r="L24" s="167"/>
    </row>
    <row r="25" customFormat="false" ht="18.75" hidden="false" customHeight="true" outlineLevel="0" collapsed="false">
      <c r="B25" s="136"/>
      <c r="C25" s="136"/>
      <c r="D25" s="136"/>
      <c r="E25" s="136"/>
      <c r="F25" s="135"/>
      <c r="G25" s="135"/>
      <c r="H25" s="135"/>
      <c r="I25" s="135"/>
      <c r="J25" s="135"/>
      <c r="K25" s="135"/>
      <c r="L25" s="167"/>
    </row>
    <row r="26" customFormat="false" ht="15.75" hidden="false" customHeight="true" outlineLevel="0" collapsed="false">
      <c r="B26" s="126" t="s">
        <v>133</v>
      </c>
      <c r="C26" s="126"/>
      <c r="D26" s="125"/>
      <c r="E26" s="125"/>
      <c r="F26" s="125"/>
      <c r="G26" s="125"/>
      <c r="H26" s="125"/>
      <c r="I26" s="125"/>
      <c r="J26" s="125"/>
      <c r="K26" s="125"/>
      <c r="L26" s="125"/>
    </row>
    <row r="27" customFormat="false" ht="15.75" hidden="false" customHeight="true" outlineLevel="0" collapsed="false">
      <c r="B27" s="168" t="s">
        <v>129</v>
      </c>
      <c r="C27" s="169" t="n">
        <f aca="false">E22*L18</f>
        <v>814.98</v>
      </c>
      <c r="D27" s="125"/>
      <c r="E27" s="125"/>
      <c r="F27" s="125"/>
      <c r="G27" s="125"/>
      <c r="H27" s="125"/>
      <c r="I27" s="125"/>
      <c r="J27" s="125"/>
    </row>
    <row r="28" customFormat="false" ht="15.75" hidden="false" customHeight="true" outlineLevel="0" collapsed="false">
      <c r="B28" s="52" t="s">
        <v>131</v>
      </c>
      <c r="C28" s="130" t="n">
        <f aca="false">E23*('Base Criciúma'!N20/12)</f>
        <v>278.144791666667</v>
      </c>
      <c r="D28" s="125"/>
      <c r="E28" s="125"/>
      <c r="F28" s="125"/>
      <c r="G28" s="125"/>
      <c r="H28" s="125"/>
      <c r="I28" s="125"/>
      <c r="J28" s="125"/>
    </row>
    <row r="29" customFormat="false" ht="15.75" hidden="false" customHeight="true" outlineLevel="0" collapsed="false">
      <c r="B29" s="137" t="s">
        <v>28</v>
      </c>
      <c r="C29" s="138" t="n">
        <f aca="false">C27+C28</f>
        <v>1093.12479166667</v>
      </c>
      <c r="D29" s="125"/>
      <c r="E29" s="125"/>
      <c r="F29" s="125"/>
      <c r="G29" s="125"/>
      <c r="H29" s="125"/>
      <c r="I29" s="85"/>
      <c r="J29" s="85"/>
    </row>
    <row r="30" customFormat="false" ht="15.75" hidden="false" customHeight="true" outlineLevel="0" collapsed="false">
      <c r="B30" s="170"/>
      <c r="C30" s="170"/>
      <c r="D30" s="125"/>
      <c r="H30" s="85"/>
      <c r="I30" s="85"/>
    </row>
    <row r="31" customFormat="false" ht="15.75" hidden="false" customHeight="true" outlineLevel="0" collapsed="false">
      <c r="B31" s="140" t="s">
        <v>134</v>
      </c>
      <c r="C31" s="140"/>
      <c r="D31" s="125"/>
      <c r="H31" s="85"/>
      <c r="I31" s="85"/>
    </row>
    <row r="32" customFormat="false" ht="15.75" hidden="false" customHeight="true" outlineLevel="0" collapsed="false">
      <c r="B32" s="148" t="s">
        <v>126</v>
      </c>
      <c r="C32" s="142" t="n">
        <f aca="false">SUM(M5:M17)</f>
        <v>20</v>
      </c>
      <c r="I32" s="125"/>
    </row>
    <row r="33" customFormat="false" ht="14.25" hidden="false" customHeight="false" outlineLevel="0" collapsed="false">
      <c r="B33" s="85"/>
      <c r="C33" s="85"/>
      <c r="D33" s="85"/>
    </row>
    <row r="34" customFormat="false" ht="14.25" hidden="false" customHeight="false" outlineLevel="0" collapsed="false">
      <c r="B34" s="144" t="s">
        <v>135</v>
      </c>
      <c r="C34" s="171"/>
      <c r="D34" s="85"/>
    </row>
    <row r="35" customFormat="false" ht="14.25" hidden="false" customHeight="false" outlineLevel="0" collapsed="false">
      <c r="B35" s="131"/>
      <c r="C35" s="125"/>
      <c r="D35" s="125"/>
    </row>
    <row r="36" customFormat="false" ht="14.25" hidden="false" customHeight="false" outlineLevel="0" collapsed="false">
      <c r="B36" s="170"/>
      <c r="C36" s="125"/>
      <c r="D36" s="125"/>
    </row>
    <row r="37" customFormat="false" ht="14.25" hidden="false" customHeight="false" outlineLevel="0" collapsed="false">
      <c r="B37" s="125"/>
      <c r="C37" s="125"/>
      <c r="D37" s="131"/>
    </row>
    <row r="38" customFormat="false" ht="14.25" hidden="false" customHeight="false" outlineLevel="0" collapsed="false">
      <c r="B38" s="125"/>
      <c r="C38" s="125"/>
      <c r="D38" s="131"/>
    </row>
    <row r="39" customFormat="false" ht="14.25" hidden="false" customHeight="false" outlineLevel="0" collapsed="false">
      <c r="B39" s="125"/>
      <c r="C39" s="125"/>
      <c r="D39" s="131"/>
    </row>
    <row r="40" customFormat="false" ht="14.25" hidden="false" customHeight="false" outlineLevel="0" collapsed="false">
      <c r="B40" s="170"/>
      <c r="C40" s="125"/>
      <c r="D40" s="172"/>
    </row>
    <row r="41" customFormat="false" ht="14.25" hidden="false" customHeight="false" outlineLevel="0" collapsed="false">
      <c r="B41" s="85"/>
      <c r="C41" s="85"/>
      <c r="D41" s="85"/>
    </row>
    <row r="42" customFormat="false" ht="14.25" hidden="false" customHeight="false" outlineLevel="0" collapsed="false">
      <c r="B42" s="173"/>
      <c r="C42" s="85"/>
      <c r="D42" s="85"/>
    </row>
    <row r="43" customFormat="false" ht="14.25" hidden="false" customHeight="false" outlineLevel="0" collapsed="false">
      <c r="B43" s="131"/>
      <c r="C43" s="125"/>
      <c r="D43" s="125"/>
    </row>
    <row r="44" customFormat="false" ht="14.25" hidden="false" customHeight="false" outlineLevel="0" collapsed="false">
      <c r="B44" s="170"/>
      <c r="C44" s="125"/>
      <c r="D44" s="125"/>
    </row>
    <row r="45" customFormat="false" ht="14.25" hidden="false" customHeight="false" outlineLevel="0" collapsed="false">
      <c r="B45" s="125"/>
      <c r="C45" s="125"/>
      <c r="D45" s="131"/>
    </row>
    <row r="46" customFormat="false" ht="14.25" hidden="false" customHeight="false" outlineLevel="0" collapsed="false">
      <c r="B46" s="125"/>
      <c r="C46" s="125"/>
      <c r="D46" s="131"/>
    </row>
    <row r="47" customFormat="false" ht="14.25" hidden="false" customHeight="false" outlineLevel="0" collapsed="false">
      <c r="B47" s="170"/>
      <c r="C47" s="125"/>
      <c r="D47" s="172"/>
    </row>
    <row r="48" customFormat="false" ht="14.25" hidden="false" customHeight="false" outlineLevel="0" collapsed="false">
      <c r="B48" s="85"/>
      <c r="C48" s="85"/>
      <c r="D48" s="85"/>
    </row>
    <row r="49" customFormat="false" ht="14.25" hidden="false" customHeight="false" outlineLevel="0" collapsed="false">
      <c r="B49" s="173"/>
      <c r="C49" s="85"/>
      <c r="D49" s="85"/>
    </row>
    <row r="50" customFormat="false" ht="14.25" hidden="false" customHeight="false" outlineLevel="0" collapsed="false">
      <c r="B50" s="131"/>
      <c r="C50" s="125"/>
      <c r="D50" s="125"/>
    </row>
    <row r="51" customFormat="false" ht="14.25" hidden="false" customHeight="false" outlineLevel="0" collapsed="false">
      <c r="B51" s="170"/>
      <c r="C51" s="125"/>
      <c r="D51" s="125"/>
    </row>
    <row r="52" customFormat="false" ht="14.25" hidden="false" customHeight="false" outlineLevel="0" collapsed="false">
      <c r="B52" s="125"/>
      <c r="C52" s="125"/>
      <c r="D52" s="131"/>
    </row>
    <row r="53" customFormat="false" ht="14.25" hidden="false" customHeight="false" outlineLevel="0" collapsed="false">
      <c r="B53" s="125"/>
      <c r="C53" s="125"/>
      <c r="D53" s="131"/>
    </row>
    <row r="54" customFormat="false" ht="14.25" hidden="false" customHeight="false" outlineLevel="0" collapsed="false">
      <c r="B54" s="170"/>
      <c r="C54" s="125"/>
      <c r="D54" s="172"/>
    </row>
    <row r="55" customFormat="false" ht="14.25" hidden="false" customHeight="false" outlineLevel="0" collapsed="false">
      <c r="B55" s="85"/>
      <c r="C55" s="85"/>
      <c r="D55" s="85"/>
    </row>
    <row r="56" customFormat="false" ht="14.25" hidden="false" customHeight="false" outlineLevel="0" collapsed="false">
      <c r="B56" s="173"/>
      <c r="C56" s="85"/>
      <c r="D56" s="85"/>
    </row>
    <row r="57" customFormat="false" ht="14.25" hidden="false" customHeight="false" outlineLevel="0" collapsed="false">
      <c r="B57" s="131"/>
      <c r="C57" s="125"/>
      <c r="D57" s="125"/>
    </row>
    <row r="58" customFormat="false" ht="14.25" hidden="false" customHeight="false" outlineLevel="0" collapsed="false">
      <c r="B58" s="170"/>
      <c r="C58" s="125"/>
      <c r="D58" s="125"/>
    </row>
    <row r="59" customFormat="false" ht="14.25" hidden="false" customHeight="false" outlineLevel="0" collapsed="false">
      <c r="B59" s="125"/>
      <c r="C59" s="125"/>
      <c r="D59" s="131"/>
    </row>
    <row r="60" customFormat="false" ht="14.25" hidden="false" customHeight="false" outlineLevel="0" collapsed="false">
      <c r="B60" s="125"/>
      <c r="C60" s="125"/>
      <c r="D60" s="131"/>
    </row>
    <row r="61" customFormat="false" ht="14.25" hidden="false" customHeight="false" outlineLevel="0" collapsed="false">
      <c r="B61" s="125"/>
      <c r="C61" s="125"/>
      <c r="D61" s="131"/>
    </row>
    <row r="62" customFormat="false" ht="14.25" hidden="false" customHeight="false" outlineLevel="0" collapsed="false">
      <c r="B62" s="170"/>
      <c r="C62" s="125"/>
      <c r="D62" s="172"/>
    </row>
  </sheetData>
  <mergeCells count="79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8:F18"/>
    <mergeCell ref="H18:J18"/>
    <mergeCell ref="B20:E20"/>
    <mergeCell ref="B24:E24"/>
    <mergeCell ref="B26:C26"/>
    <mergeCell ref="B31:C31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9" colorId="64" zoomScale="80" zoomScaleNormal="80" zoomScalePageLayoutView="100" workbookViewId="0">
      <selection pane="topLeft" activeCell="D24" activeCellId="0" sqref="D2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4" t="s">
        <v>155</v>
      </c>
      <c r="C2" s="174"/>
      <c r="D2" s="174"/>
      <c r="E2" s="174"/>
      <c r="F2" s="174"/>
      <c r="G2" s="174"/>
      <c r="H2" s="174"/>
      <c r="I2" s="174"/>
    </row>
    <row r="3" customFormat="false" ht="21" hidden="false" customHeight="true" outlineLevel="0" collapsed="false"/>
    <row r="4" customFormat="false" ht="16.5" hidden="false" customHeight="true" outlineLevel="0" collapsed="false">
      <c r="B4" s="175" t="s">
        <v>156</v>
      </c>
      <c r="C4" s="175"/>
      <c r="D4" s="175"/>
      <c r="E4" s="175"/>
      <c r="F4" s="175"/>
      <c r="G4" s="175"/>
      <c r="H4" s="175"/>
      <c r="I4" s="175"/>
    </row>
    <row r="5" customFormat="false" ht="16.5" hidden="false" customHeight="true" outlineLevel="0" collapsed="false">
      <c r="B5" s="176" t="s">
        <v>157</v>
      </c>
      <c r="C5" s="176"/>
      <c r="D5" s="177" t="s">
        <v>158</v>
      </c>
      <c r="E5" s="177"/>
      <c r="F5" s="177"/>
      <c r="G5" s="177"/>
      <c r="H5" s="177"/>
      <c r="I5" s="177"/>
    </row>
    <row r="6" customFormat="false" ht="16.5" hidden="false" customHeight="true" outlineLevel="0" collapsed="false">
      <c r="B6" s="176" t="s">
        <v>124</v>
      </c>
      <c r="C6" s="176"/>
      <c r="D6" s="177" t="s">
        <v>159</v>
      </c>
      <c r="E6" s="177"/>
      <c r="F6" s="177"/>
      <c r="G6" s="177"/>
      <c r="H6" s="177"/>
      <c r="I6" s="177"/>
    </row>
    <row r="7" customFormat="false" ht="16.5" hidden="false" customHeight="true" outlineLevel="0" collapsed="false">
      <c r="B7" s="176" t="s">
        <v>160</v>
      </c>
      <c r="C7" s="176"/>
      <c r="D7" s="178" t="s">
        <v>161</v>
      </c>
      <c r="E7" s="178"/>
      <c r="F7" s="178"/>
      <c r="G7" s="178"/>
      <c r="H7" s="178"/>
      <c r="I7" s="178"/>
    </row>
    <row r="8" customFormat="false" ht="16.5" hidden="false" customHeight="true" outlineLevel="0" collapsed="false">
      <c r="B8" s="176" t="s">
        <v>162</v>
      </c>
      <c r="C8" s="176"/>
      <c r="D8" s="177" t="s">
        <v>163</v>
      </c>
      <c r="E8" s="177"/>
      <c r="F8" s="177"/>
      <c r="G8" s="177"/>
      <c r="H8" s="177"/>
      <c r="I8" s="177"/>
    </row>
    <row r="9" customFormat="false" ht="16.5" hidden="false" customHeight="true" outlineLevel="0" collapsed="false">
      <c r="B9" s="176" t="s">
        <v>164</v>
      </c>
      <c r="C9" s="176"/>
      <c r="D9" s="177" t="s">
        <v>165</v>
      </c>
      <c r="E9" s="177"/>
      <c r="F9" s="177"/>
      <c r="G9" s="177"/>
      <c r="H9" s="177"/>
      <c r="I9" s="177"/>
    </row>
    <row r="10" customFormat="false" ht="16.5" hidden="false" customHeight="true" outlineLevel="0" collapsed="false">
      <c r="B10" s="176" t="s">
        <v>125</v>
      </c>
      <c r="C10" s="176"/>
      <c r="D10" s="177" t="s">
        <v>129</v>
      </c>
      <c r="E10" s="177"/>
      <c r="F10" s="177"/>
      <c r="G10" s="177"/>
      <c r="H10" s="177"/>
      <c r="I10" s="177"/>
    </row>
    <row r="11" customFormat="false" ht="23.25" hidden="false" customHeight="true" outlineLevel="0" collapsed="false">
      <c r="B11" s="176" t="s">
        <v>166</v>
      </c>
      <c r="C11" s="176"/>
      <c r="D11" s="179" t="n">
        <f aca="false">SUM(I14:I18)</f>
        <v>52.02</v>
      </c>
      <c r="E11" s="179"/>
      <c r="F11" s="179"/>
      <c r="G11" s="179"/>
      <c r="H11" s="179"/>
      <c r="I11" s="179"/>
    </row>
    <row r="12" customFormat="false" ht="15.75" hidden="false" customHeight="true" outlineLevel="0" collapsed="false">
      <c r="B12" s="180"/>
      <c r="C12" s="180"/>
      <c r="D12" s="181"/>
      <c r="E12" s="181"/>
      <c r="F12" s="181"/>
      <c r="G12" s="181"/>
      <c r="H12" s="181"/>
      <c r="I12" s="181"/>
    </row>
    <row r="13" customFormat="false" ht="29.25" hidden="false" customHeight="true" outlineLevel="0" collapsed="false">
      <c r="B13" s="182"/>
      <c r="C13" s="182" t="s">
        <v>167</v>
      </c>
      <c r="D13" s="182" t="s">
        <v>124</v>
      </c>
      <c r="E13" s="182" t="s">
        <v>164</v>
      </c>
      <c r="F13" s="182" t="s">
        <v>125</v>
      </c>
      <c r="G13" s="183" t="s">
        <v>168</v>
      </c>
      <c r="H13" s="182" t="s">
        <v>169</v>
      </c>
      <c r="I13" s="182" t="s">
        <v>166</v>
      </c>
    </row>
    <row r="14" customFormat="false" ht="27.75" hidden="false" customHeight="true" outlineLevel="0" collapsed="false">
      <c r="B14" s="184" t="s">
        <v>170</v>
      </c>
      <c r="C14" s="184" t="s">
        <v>171</v>
      </c>
      <c r="D14" s="185" t="s">
        <v>172</v>
      </c>
      <c r="E14" s="185" t="s">
        <v>165</v>
      </c>
      <c r="F14" s="184" t="s">
        <v>173</v>
      </c>
      <c r="G14" s="186" t="n">
        <v>4.86</v>
      </c>
      <c r="H14" s="184" t="s">
        <v>174</v>
      </c>
      <c r="I14" s="186" t="n">
        <f aca="false">G14*H14</f>
        <v>4.86</v>
      </c>
    </row>
    <row r="15" customFormat="false" ht="27.75" hidden="false" customHeight="true" outlineLevel="0" collapsed="false">
      <c r="B15" s="184" t="s">
        <v>170</v>
      </c>
      <c r="C15" s="184" t="s">
        <v>175</v>
      </c>
      <c r="D15" s="185" t="s">
        <v>176</v>
      </c>
      <c r="E15" s="185" t="s">
        <v>165</v>
      </c>
      <c r="F15" s="184" t="s">
        <v>173</v>
      </c>
      <c r="G15" s="186" t="n">
        <v>1.49</v>
      </c>
      <c r="H15" s="184" t="s">
        <v>174</v>
      </c>
      <c r="I15" s="186" t="n">
        <f aca="false">G15*H15</f>
        <v>1.49</v>
      </c>
    </row>
    <row r="16" customFormat="false" ht="42" hidden="false" customHeight="true" outlineLevel="0" collapsed="false">
      <c r="B16" s="184" t="s">
        <v>170</v>
      </c>
      <c r="C16" s="184" t="s">
        <v>177</v>
      </c>
      <c r="D16" s="185" t="s">
        <v>178</v>
      </c>
      <c r="E16" s="185" t="s">
        <v>165</v>
      </c>
      <c r="F16" s="184" t="s">
        <v>173</v>
      </c>
      <c r="G16" s="186" t="n">
        <v>0.6</v>
      </c>
      <c r="H16" s="184" t="s">
        <v>174</v>
      </c>
      <c r="I16" s="186" t="n">
        <f aca="false">G16*H16</f>
        <v>0.6</v>
      </c>
    </row>
    <row r="17" customFormat="false" ht="27.75" hidden="false" customHeight="true" outlineLevel="0" collapsed="false">
      <c r="B17" s="184" t="s">
        <v>170</v>
      </c>
      <c r="C17" s="184" t="s">
        <v>179</v>
      </c>
      <c r="D17" s="185" t="s">
        <v>180</v>
      </c>
      <c r="E17" s="185" t="s">
        <v>165</v>
      </c>
      <c r="F17" s="184" t="s">
        <v>173</v>
      </c>
      <c r="G17" s="186" t="n">
        <v>6.07</v>
      </c>
      <c r="H17" s="184" t="s">
        <v>174</v>
      </c>
      <c r="I17" s="186" t="n">
        <f aca="false">G17*H17</f>
        <v>6.07</v>
      </c>
    </row>
    <row r="18" customFormat="false" ht="42" hidden="false" customHeight="true" outlineLevel="0" collapsed="false">
      <c r="B18" s="184" t="s">
        <v>170</v>
      </c>
      <c r="C18" s="184" t="s">
        <v>181</v>
      </c>
      <c r="D18" s="185" t="s">
        <v>182</v>
      </c>
      <c r="E18" s="185" t="s">
        <v>165</v>
      </c>
      <c r="F18" s="184" t="s">
        <v>173</v>
      </c>
      <c r="G18" s="186" t="n">
        <v>39</v>
      </c>
      <c r="H18" s="184" t="s">
        <v>174</v>
      </c>
      <c r="I18" s="186" t="n">
        <f aca="false">G18*H18</f>
        <v>39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74" t="s">
        <v>183</v>
      </c>
      <c r="C20" s="174"/>
      <c r="D20" s="174"/>
      <c r="E20" s="174"/>
      <c r="F20" s="174"/>
      <c r="G20" s="174"/>
      <c r="H20" s="174"/>
      <c r="I20" s="174"/>
    </row>
    <row r="21" customFormat="false" ht="16.5" hidden="false" customHeight="true" outlineLevel="0" collapsed="false">
      <c r="B21" s="176" t="s">
        <v>157</v>
      </c>
      <c r="C21" s="176"/>
      <c r="D21" s="177" t="s">
        <v>184</v>
      </c>
      <c r="E21" s="177"/>
      <c r="F21" s="177"/>
      <c r="G21" s="177"/>
      <c r="H21" s="177"/>
      <c r="I21" s="177"/>
    </row>
    <row r="22" customFormat="false" ht="16.5" hidden="false" customHeight="true" outlineLevel="0" collapsed="false">
      <c r="B22" s="176" t="s">
        <v>124</v>
      </c>
      <c r="C22" s="176"/>
      <c r="D22" s="177" t="s">
        <v>185</v>
      </c>
      <c r="E22" s="177"/>
      <c r="F22" s="177"/>
      <c r="G22" s="177"/>
      <c r="H22" s="177"/>
      <c r="I22" s="177"/>
    </row>
    <row r="23" customFormat="false" ht="16.5" hidden="false" customHeight="true" outlineLevel="0" collapsed="false">
      <c r="B23" s="176" t="s">
        <v>160</v>
      </c>
      <c r="C23" s="176"/>
      <c r="D23" s="178" t="s">
        <v>161</v>
      </c>
      <c r="E23" s="178"/>
      <c r="F23" s="178"/>
      <c r="G23" s="178"/>
      <c r="H23" s="178"/>
      <c r="I23" s="178"/>
    </row>
    <row r="24" customFormat="false" ht="16.5" hidden="false" customHeight="true" outlineLevel="0" collapsed="false">
      <c r="B24" s="176" t="s">
        <v>162</v>
      </c>
      <c r="C24" s="176"/>
      <c r="D24" s="177" t="s">
        <v>163</v>
      </c>
      <c r="E24" s="177"/>
      <c r="F24" s="177"/>
      <c r="G24" s="177"/>
      <c r="H24" s="177"/>
      <c r="I24" s="177"/>
    </row>
    <row r="25" customFormat="false" ht="16.5" hidden="false" customHeight="true" outlineLevel="0" collapsed="false">
      <c r="B25" s="176" t="s">
        <v>164</v>
      </c>
      <c r="C25" s="176"/>
      <c r="D25" s="177" t="s">
        <v>165</v>
      </c>
      <c r="E25" s="177"/>
      <c r="F25" s="177"/>
      <c r="G25" s="177"/>
      <c r="H25" s="177"/>
      <c r="I25" s="177"/>
    </row>
    <row r="26" customFormat="false" ht="16.5" hidden="false" customHeight="true" outlineLevel="0" collapsed="false">
      <c r="B26" s="176" t="s">
        <v>125</v>
      </c>
      <c r="C26" s="176"/>
      <c r="D26" s="177" t="s">
        <v>131</v>
      </c>
      <c r="E26" s="177"/>
      <c r="F26" s="177"/>
      <c r="G26" s="177"/>
      <c r="H26" s="177"/>
      <c r="I26" s="177"/>
    </row>
    <row r="27" customFormat="false" ht="23.25" hidden="false" customHeight="true" outlineLevel="0" collapsed="false">
      <c r="B27" s="176" t="s">
        <v>166</v>
      </c>
      <c r="C27" s="176"/>
      <c r="D27" s="187" t="n">
        <f aca="false">SUM(I30:I32)</f>
        <v>6.95</v>
      </c>
      <c r="E27" s="187"/>
      <c r="F27" s="187"/>
      <c r="G27" s="187"/>
      <c r="H27" s="187"/>
      <c r="I27" s="187"/>
    </row>
    <row r="28" customFormat="false" ht="15.75" hidden="false" customHeight="true" outlineLevel="0" collapsed="false">
      <c r="B28" s="180"/>
      <c r="C28" s="180"/>
      <c r="D28" s="181"/>
      <c r="E28" s="181"/>
      <c r="F28" s="181"/>
      <c r="G28" s="181"/>
      <c r="H28" s="181"/>
      <c r="I28" s="181"/>
    </row>
    <row r="29" customFormat="false" ht="29.25" hidden="false" customHeight="true" outlineLevel="0" collapsed="false">
      <c r="B29" s="182"/>
      <c r="C29" s="182" t="s">
        <v>167</v>
      </c>
      <c r="D29" s="182" t="s">
        <v>124</v>
      </c>
      <c r="E29" s="182" t="s">
        <v>164</v>
      </c>
      <c r="F29" s="182" t="s">
        <v>125</v>
      </c>
      <c r="G29" s="183" t="s">
        <v>168</v>
      </c>
      <c r="H29" s="182" t="s">
        <v>169</v>
      </c>
      <c r="I29" s="182" t="s">
        <v>166</v>
      </c>
    </row>
    <row r="30" customFormat="false" ht="27.75" hidden="false" customHeight="true" outlineLevel="0" collapsed="false">
      <c r="B30" s="184" t="s">
        <v>170</v>
      </c>
      <c r="C30" s="184" t="s">
        <v>171</v>
      </c>
      <c r="D30" s="185" t="s">
        <v>172</v>
      </c>
      <c r="E30" s="185" t="s">
        <v>165</v>
      </c>
      <c r="F30" s="184" t="s">
        <v>173</v>
      </c>
      <c r="G30" s="186" t="n">
        <f aca="false">G14</f>
        <v>4.86</v>
      </c>
      <c r="H30" s="184" t="s">
        <v>174</v>
      </c>
      <c r="I30" s="186" t="n">
        <f aca="false">G30*H30</f>
        <v>4.86</v>
      </c>
    </row>
    <row r="31" customFormat="false" ht="27.75" hidden="false" customHeight="true" outlineLevel="0" collapsed="false">
      <c r="B31" s="184" t="s">
        <v>170</v>
      </c>
      <c r="C31" s="184" t="s">
        <v>175</v>
      </c>
      <c r="D31" s="185" t="s">
        <v>176</v>
      </c>
      <c r="E31" s="185" t="s">
        <v>165</v>
      </c>
      <c r="F31" s="184" t="s">
        <v>173</v>
      </c>
      <c r="G31" s="186" t="n">
        <f aca="false">G15</f>
        <v>1.49</v>
      </c>
      <c r="H31" s="184" t="s">
        <v>174</v>
      </c>
      <c r="I31" s="186" t="n">
        <f aca="false">G31*H31</f>
        <v>1.49</v>
      </c>
    </row>
    <row r="32" customFormat="false" ht="42" hidden="false" customHeight="true" outlineLevel="0" collapsed="false">
      <c r="B32" s="184" t="s">
        <v>170</v>
      </c>
      <c r="C32" s="184" t="s">
        <v>177</v>
      </c>
      <c r="D32" s="185" t="s">
        <v>178</v>
      </c>
      <c r="E32" s="185" t="s">
        <v>165</v>
      </c>
      <c r="F32" s="184" t="s">
        <v>173</v>
      </c>
      <c r="G32" s="186" t="n">
        <f aca="false">G16</f>
        <v>0.6</v>
      </c>
      <c r="H32" s="184" t="s">
        <v>174</v>
      </c>
      <c r="I32" s="186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C13" activeCellId="0" sqref="C13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88" width="5.2"/>
    <col collapsed="false" customWidth="true" hidden="false" outlineLevel="0" max="2" min="2" style="188" width="34.96"/>
    <col collapsed="false" customWidth="true" hidden="false" outlineLevel="0" max="3" min="3" style="188" width="28.85"/>
    <col collapsed="false" customWidth="true" hidden="false" outlineLevel="0" max="4" min="4" style="188" width="15.6"/>
    <col collapsed="false" customWidth="true" hidden="false" outlineLevel="0" max="5" min="5" style="188" width="7.79"/>
    <col collapsed="false" customWidth="false" hidden="false" outlineLevel="0" max="6" min="6" style="188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9" t="s">
        <v>186</v>
      </c>
    </row>
    <row r="3" customFormat="false" ht="15" hidden="false" customHeight="true" outlineLevel="0" collapsed="false">
      <c r="B3" s="190" t="s">
        <v>187</v>
      </c>
      <c r="C3" s="189" t="s">
        <v>188</v>
      </c>
    </row>
    <row r="4" customFormat="false" ht="15" hidden="false" customHeight="true" outlineLevel="0" collapsed="false">
      <c r="B4" s="190" t="s">
        <v>189</v>
      </c>
      <c r="C4" s="191" t="s">
        <v>190</v>
      </c>
    </row>
    <row r="5" customFormat="false" ht="15" hidden="false" customHeight="true" outlineLevel="0" collapsed="false">
      <c r="B5" s="190" t="s">
        <v>191</v>
      </c>
      <c r="C5" s="191" t="n">
        <v>45200</v>
      </c>
    </row>
    <row r="6" customFormat="false" ht="15" hidden="false" customHeight="true" outlineLevel="0" collapsed="false">
      <c r="B6" s="190" t="s">
        <v>192</v>
      </c>
      <c r="C6" s="192" t="n">
        <v>56.25</v>
      </c>
    </row>
    <row r="7" customFormat="false" ht="13.8" hidden="false" customHeight="false" outlineLevel="0" collapsed="false">
      <c r="B7" s="193"/>
      <c r="C7" s="194"/>
    </row>
    <row r="8" customFormat="false" ht="27.75" hidden="false" customHeight="true" outlineLevel="0" collapsed="false">
      <c r="B8" s="195" t="s">
        <v>193</v>
      </c>
      <c r="C8" s="196" t="s">
        <v>194</v>
      </c>
    </row>
    <row r="9" customFormat="false" ht="15" hidden="false" customHeight="true" outlineLevel="0" collapsed="false">
      <c r="B9" s="190" t="s">
        <v>195</v>
      </c>
      <c r="C9" s="197" t="n">
        <v>0.8549</v>
      </c>
    </row>
    <row r="10" customFormat="false" ht="15" hidden="false" customHeight="true" outlineLevel="0" collapsed="false">
      <c r="B10" s="190" t="s">
        <v>196</v>
      </c>
      <c r="C10" s="197" t="n">
        <v>1.1547</v>
      </c>
    </row>
    <row r="11" customFormat="false" ht="13.5" hidden="false" customHeight="true" outlineLevel="0" collapsed="false">
      <c r="B11" s="193"/>
      <c r="C11" s="193"/>
    </row>
    <row r="12" customFormat="false" ht="15" hidden="false" customHeight="true" outlineLevel="0" collapsed="false">
      <c r="B12" s="198" t="s">
        <v>197</v>
      </c>
      <c r="C12" s="199"/>
    </row>
    <row r="13" customFormat="false" ht="15" hidden="false" customHeight="true" outlineLevel="0" collapsed="false">
      <c r="B13" s="190" t="s">
        <v>198</v>
      </c>
      <c r="C13" s="200" t="n">
        <f aca="false">C6*(1+C9)</f>
        <v>104.338125</v>
      </c>
      <c r="D13" s="201"/>
      <c r="F13" s="202"/>
    </row>
    <row r="14" customFormat="false" ht="15" hidden="false" customHeight="true" outlineLevel="0" collapsed="false">
      <c r="B14" s="190" t="s">
        <v>199</v>
      </c>
      <c r="C14" s="200" t="n">
        <f aca="false">C6*(1+C10)</f>
        <v>121.201875</v>
      </c>
      <c r="D14" s="201"/>
      <c r="F14" s="202"/>
    </row>
    <row r="16" customFormat="false" ht="32.25" hidden="false" customHeight="true" outlineLevel="0" collapsed="false">
      <c r="B16" s="203" t="s">
        <v>200</v>
      </c>
      <c r="C16" s="203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E7C7DC-E8CE-4334-9B05-8CC1486AA6C5}"/>
</file>

<file path=customXml/itemProps2.xml><?xml version="1.0" encoding="utf-8"?>
<ds:datastoreItem xmlns:ds="http://schemas.openxmlformats.org/officeDocument/2006/customXml" ds:itemID="{19EE1BE7-826B-4621-9ED3-4701CE39B331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132d983b-bc52-4905-b3a2-4655d790e7be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706c7f7c-e32b-4162-b9b5-46b4313c91a4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D8BB9E-CD47-4013-987D-F62E156E9761}"/>
</file>

<file path=customXml/itemProps5.xml><?xml version="1.0" encoding="utf-8"?>
<ds:datastoreItem xmlns:ds="http://schemas.openxmlformats.org/officeDocument/2006/customXml" ds:itemID="{8D26781D-7E87-407A-A235-6914BA758073}"/>
</file>

<file path=customXml/itemProps6.xml><?xml version="1.0" encoding="utf-8"?>
<ds:datastoreItem xmlns:ds="http://schemas.openxmlformats.org/officeDocument/2006/customXml" ds:itemID="{8C9E768B-1DF9-42C4-9F59-330132629C2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43</cp:revision>
  <cp:lastPrinted>2023-11-20T20:40:46Z</cp:lastPrinted>
  <dcterms:created xsi:type="dcterms:W3CDTF">2022-02-01T12:05:24Z</dcterms:created>
  <dcterms:modified xsi:type="dcterms:W3CDTF">2023-12-07T09:47:56Z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